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5" windowWidth="11295" windowHeight="6375" activeTab="6"/>
  </bookViews>
  <sheets>
    <sheet name="To Bia" sheetId="1" r:id="rId1"/>
    <sheet name="KQKD" sheetId="2" r:id="rId2"/>
    <sheet name="CDKT" sheetId="3" r:id="rId3"/>
    <sheet name="LCTT" sheetId="4" r:id="rId4"/>
    <sheet name="T. Minh" sheetId="5" r:id="rId5"/>
    <sheet name="T.Minh TSCDHH" sheetId="6" r:id="rId6"/>
    <sheet name="T. Minh Von" sheetId="7" r:id="rId7"/>
  </sheets>
  <externalReferences>
    <externalReference r:id="rId10"/>
  </externalReferences>
  <definedNames>
    <definedName name="_xlnm.Print_Titles" localSheetId="2">'CDKT'!$7:$7</definedName>
  </definedNames>
  <calcPr fullCalcOnLoad="1"/>
</workbook>
</file>

<file path=xl/comments5.xml><?xml version="1.0" encoding="utf-8"?>
<comments xmlns="http://schemas.openxmlformats.org/spreadsheetml/2006/main">
  <authors>
    <author>User</author>
  </authors>
  <commentList>
    <comment ref="B131" authorId="0">
      <text>
        <r>
          <rPr>
            <b/>
            <sz val="9"/>
            <rFont val="Tahoma"/>
            <family val="2"/>
          </rPr>
          <t>User:</t>
        </r>
        <r>
          <rPr>
            <sz val="9"/>
            <rFont val="Tahoma"/>
            <family val="2"/>
          </rPr>
          <t xml:space="preserve">
phung them vao cho dung chinh sua cua chi Ha - vu che do ke toan
</t>
        </r>
      </text>
    </comment>
  </commentList>
</comments>
</file>

<file path=xl/sharedStrings.xml><?xml version="1.0" encoding="utf-8"?>
<sst xmlns="http://schemas.openxmlformats.org/spreadsheetml/2006/main" count="1477" uniqueCount="1079">
  <si>
    <t>Ngành nghề kinh doanh: Kinh doanh máy phát điện và sản xuất điện sinh khối.</t>
  </si>
  <si>
    <t>Nhà xưởng, vật kiến trúc</t>
  </si>
  <si>
    <t>Phương tiện vận tải, truyền dẫn</t>
  </si>
  <si>
    <t>Thiết bị, dụng cụ quản lý</t>
  </si>
  <si>
    <t>Tài sản cố định vô hình</t>
  </si>
  <si>
    <t>Vay cá nhân</t>
  </si>
  <si>
    <t>Đầu tư ngắn hạn</t>
  </si>
  <si>
    <t>Dự phòng giảm giá đầu tư chứng khoán ngắn hạn</t>
  </si>
  <si>
    <t>Đầu tư dài hạn khác</t>
  </si>
  <si>
    <t>Số 3 đường số 1 KCN Sóng Thần, Thị Xã Dĩ An, Tỉnh Bình Dương</t>
  </si>
  <si>
    <t>Năm 2012</t>
  </si>
  <si>
    <t>Dự phòng phải thu ngắn hạn khó đòi</t>
  </si>
  <si>
    <t>Dự phòng giảm giá hàng tồn kho</t>
  </si>
  <si>
    <t>Dự phòng phải trả dài hạn</t>
  </si>
  <si>
    <t>Năm 2011</t>
  </si>
  <si>
    <t>Đầu tư chứng khoán ngắn hạn</t>
  </si>
  <si>
    <t>Tiền gửi có kỳ hạn</t>
  </si>
  <si>
    <t>Cộng giá trị thuần hàng tồn kho</t>
  </si>
  <si>
    <t>Chênh lệch tỷ giá</t>
  </si>
  <si>
    <t>Điều chỉnh giảm khác</t>
  </si>
  <si>
    <t>Điều chỉnh tăng khác</t>
  </si>
  <si>
    <t>Tạm ứng</t>
  </si>
  <si>
    <t>Ký quỹ, ký cược ngắn hạn</t>
  </si>
  <si>
    <t>Mua trong năm</t>
  </si>
  <si>
    <t>Số dư cuối năm</t>
  </si>
  <si>
    <t>Khấu hao trong năm</t>
  </si>
  <si>
    <t>Giá trị còn lại</t>
  </si>
  <si>
    <t>Thuế xuất, nhập khẩu</t>
  </si>
  <si>
    <t>Vốn góp đầu năm</t>
  </si>
  <si>
    <t>Vốn góp tăng trong năm</t>
  </si>
  <si>
    <t>Vốn góp cuối năm</t>
  </si>
  <si>
    <t>Cổ tức đã công bố sau ngày kết thúc niên độ</t>
  </si>
  <si>
    <t>Cổ tức đã công bố trên cổ phiếu ưu đãi</t>
  </si>
  <si>
    <t>SỐ 3 ĐƯỜNG SỐ 1 KCN SÓNG THẦN, THỊ XÃ DĨ AN, TỈNH BÌNH DƯƠNG</t>
  </si>
  <si>
    <t>Số lượng cổ phiếu đã bán ra công chúng</t>
  </si>
  <si>
    <t>Lãi tiền gửi, tiền cho vay</t>
  </si>
  <si>
    <t xml:space="preserve">Các khoản điều chỉnh tăng hoặc giảm </t>
  </si>
  <si>
    <t>Bên liên quan</t>
  </si>
  <si>
    <t>Cơ sở hợp nhất:</t>
  </si>
  <si>
    <t>Trả trước cho người bán</t>
  </si>
  <si>
    <t>V.2</t>
  </si>
  <si>
    <t>Hàng tồn kho</t>
  </si>
  <si>
    <t>V.3</t>
  </si>
  <si>
    <t>Chi phí trả trước ngắn hạn</t>
  </si>
  <si>
    <t>Thuế GTGT được khấu trừ</t>
  </si>
  <si>
    <t>V.4</t>
  </si>
  <si>
    <t>B</t>
  </si>
  <si>
    <t>TÀI SẢN DÀI HẠN</t>
  </si>
  <si>
    <t>Các khoản phải thu dài hạn</t>
  </si>
  <si>
    <t>Vốn kinh doanh ở đơn vị trực thuộc</t>
  </si>
  <si>
    <t>V.5</t>
  </si>
  <si>
    <t>Tài sản cố định</t>
  </si>
  <si>
    <t>TSCD hữu hình</t>
  </si>
  <si>
    <t>V.6</t>
  </si>
  <si>
    <t>Nguyên giá</t>
  </si>
  <si>
    <t>TSCD vô hình</t>
  </si>
  <si>
    <t>V.7</t>
  </si>
  <si>
    <t>Chi phí xây dựng cơ bản dở dang</t>
  </si>
  <si>
    <t>V.8</t>
  </si>
  <si>
    <t>Bất động sản đầu tư</t>
  </si>
  <si>
    <t>Các khoản đầu tư tài chính dài hạn</t>
  </si>
  <si>
    <t>Đầu tư vào công ty con</t>
  </si>
  <si>
    <t>V.9</t>
  </si>
  <si>
    <t>Tài sản dài hạn khác</t>
  </si>
  <si>
    <t>V.10</t>
  </si>
  <si>
    <t>Chi phí trả trước dàn hạn</t>
  </si>
  <si>
    <t>TÀI SẢN</t>
  </si>
  <si>
    <t>NGUỒN VỐN</t>
  </si>
  <si>
    <t>NỢ PHẢI TRẢ</t>
  </si>
  <si>
    <t>Nợ ngắn hạn</t>
  </si>
  <si>
    <t>Vay và nợ ngắn hạn</t>
  </si>
  <si>
    <t>V.11</t>
  </si>
  <si>
    <t>Phải trả cho người bán</t>
  </si>
  <si>
    <t>Người mua trả tiền trước</t>
  </si>
  <si>
    <t>Thuế và các khoản phải nộp nhà nước</t>
  </si>
  <si>
    <t>V.12</t>
  </si>
  <si>
    <t>Phải trả người lao động</t>
  </si>
  <si>
    <t>Chi phí phải trả</t>
  </si>
  <si>
    <t>Các khoản phải trả, phải nộp ngắn hạn khác</t>
  </si>
  <si>
    <t>V.13</t>
  </si>
  <si>
    <t>Nợ dài hạn</t>
  </si>
  <si>
    <t>Dự phòng trợ cấp mất việc làm</t>
  </si>
  <si>
    <t>VỐN CHỦ SỞ HỮU</t>
  </si>
  <si>
    <t>Vốn chủ sở hữu</t>
  </si>
  <si>
    <t>V.14</t>
  </si>
  <si>
    <t>Vốn khác của chủ sở hữu</t>
  </si>
  <si>
    <t>Cổ phiếu quỹ</t>
  </si>
  <si>
    <t>Chênh lệch tỷ giá hối đoái</t>
  </si>
  <si>
    <t>Lợi nhuận chưa phân phối</t>
  </si>
  <si>
    <t>Nguồn kinh phí và quỹ khác</t>
  </si>
  <si>
    <t>Quỹ khen thưởng phúc lợi</t>
  </si>
  <si>
    <t>Mẫu số B 02- DN</t>
  </si>
  <si>
    <t>VI.1</t>
  </si>
  <si>
    <t>VI.2</t>
  </si>
  <si>
    <t>VI.3</t>
  </si>
  <si>
    <t>VI.4</t>
  </si>
  <si>
    <t>VI.5</t>
  </si>
  <si>
    <t>VI.6</t>
  </si>
  <si>
    <t>VI.7</t>
  </si>
  <si>
    <t>Trong đó: Chi phí lãi vay</t>
  </si>
  <si>
    <t>Chi phí thuế TNDN hiện hành</t>
  </si>
  <si>
    <t>VI.8</t>
  </si>
  <si>
    <t>Chi phí thuế TNDN hoãn lại</t>
  </si>
  <si>
    <t>Hàng bán bị trả lại</t>
  </si>
  <si>
    <t>Lãi vay</t>
  </si>
  <si>
    <t xml:space="preserve">Công ty cổ phần chế tạo máy Dzĩ An </t>
  </si>
  <si>
    <t>BẢNG CÂN ĐỐI KẾ TOÁN HỢP NHẤT</t>
  </si>
  <si>
    <t>ĐVT: VND</t>
  </si>
  <si>
    <t>Thuế và các khoản phải thu Nhà nước</t>
  </si>
  <si>
    <t>Tài sản thuế TNDN hoãn lại</t>
  </si>
  <si>
    <t xml:space="preserve">              BÁO CÁO KẾT QUẢ HOẠT ĐỘNG KINH DOANH HỢP NHẤT</t>
  </si>
  <si>
    <t>THUYẾT MINH BÁO CÁO TÀI CHÍNH HỢP NHẤT</t>
  </si>
  <si>
    <t>MÃ CHỨNG KHOÁN: DZM</t>
  </si>
  <si>
    <t xml:space="preserve">CÔNG TY CỔ PHẦN CHẾ TẠO MÁY DZĨ AN </t>
  </si>
  <si>
    <t>BÁO CÁO TÀI CHÍNH HỢP NHẤT</t>
  </si>
  <si>
    <t>TM</t>
  </si>
  <si>
    <t>Thanh lý, nhượng bán</t>
  </si>
  <si>
    <t>Doanh thu chưa thực hiện</t>
  </si>
  <si>
    <t>Các khoản phải thu khác</t>
  </si>
  <si>
    <t>Địa điểm</t>
  </si>
  <si>
    <t>Chỉ tiêu</t>
  </si>
  <si>
    <t>DVT: Đồng</t>
  </si>
  <si>
    <t>Stt</t>
  </si>
  <si>
    <t>Nội dung</t>
  </si>
  <si>
    <t>I</t>
  </si>
  <si>
    <t>II</t>
  </si>
  <si>
    <t>III</t>
  </si>
  <si>
    <t>TỔNG CỘNG TÀI SẢN</t>
  </si>
  <si>
    <t>IV</t>
  </si>
  <si>
    <t>V</t>
  </si>
  <si>
    <t>TỔNG CỘNG NGUỒN VỐN</t>
  </si>
  <si>
    <t>Doanh thu bán hàng và cung cấp dịch vụ</t>
  </si>
  <si>
    <t>Các khoản giảm trừ doanh thu</t>
  </si>
  <si>
    <t xml:space="preserve">Doanh thu thuần về bán hàng và cung cấp dịch vụ </t>
  </si>
  <si>
    <t>Giá vốn hàng bán</t>
  </si>
  <si>
    <t>Lợi nhuận gộp bán hàng và cung cấp dịch vụ</t>
  </si>
  <si>
    <t>Doanh thu hoạt động tài chính</t>
  </si>
  <si>
    <t>Chi phí tài chính</t>
  </si>
  <si>
    <t>Chi phí bán hàng</t>
  </si>
  <si>
    <t>Chi phí quản lý doanh nghiệp</t>
  </si>
  <si>
    <t>Lợi nhuận thuần từ hoạt động kinh doanh</t>
  </si>
  <si>
    <t>Thu nhập khác</t>
  </si>
  <si>
    <t>Chi phí khác</t>
  </si>
  <si>
    <t xml:space="preserve">Lợi nhuận khác </t>
  </si>
  <si>
    <t xml:space="preserve">Tổng lợi nhuận kế toán trước thuế </t>
  </si>
  <si>
    <t xml:space="preserve">Lợi nhuận sau thuế thu nhập doanh nghiệp </t>
  </si>
  <si>
    <t>Lãi cơ bản trên cổ phiếu</t>
  </si>
  <si>
    <t>CÔNG TY CỔ PHẦN CHẾ TẠO MÁY DZĨ AN</t>
  </si>
  <si>
    <t>Niên độ kế toán của Công ty bắt đầu từ ngày 01 tháng 01 và kết thúc ngày 31 tháng 12 hàng năm.</t>
  </si>
  <si>
    <t>Tiền gửi ngân hàng</t>
  </si>
  <si>
    <t>Cộng</t>
  </si>
  <si>
    <t>Phải thu khác</t>
  </si>
  <si>
    <t>Tài sản ngắn hạn khác</t>
  </si>
  <si>
    <t>Nguyên liệu, vật liệu</t>
  </si>
  <si>
    <t>Hàng gửi đi bán</t>
  </si>
  <si>
    <t>Cộng giá gốc hàng tồn kho</t>
  </si>
  <si>
    <t>Khoản mục</t>
  </si>
  <si>
    <t>Máy móc thiết bị</t>
  </si>
  <si>
    <t>Phương tiện vận tải</t>
  </si>
  <si>
    <t>Giá trị hao mòn lũy kế</t>
  </si>
  <si>
    <t>Quyền sử dụng đất</t>
  </si>
  <si>
    <t>Thuế thu nhập cá nhân</t>
  </si>
  <si>
    <t>b. Chi tiết vốn đầu tư của chủ sở hữu</t>
  </si>
  <si>
    <t>Vốn đầu tư của chủ sở hữu</t>
  </si>
  <si>
    <t>d. Cổ tức</t>
  </si>
  <si>
    <t>Cổ tức đã công bố trên cổ phiếu phổ thông</t>
  </si>
  <si>
    <t>Cổ phiếu phổ thông</t>
  </si>
  <si>
    <t>Số lượng cổ phiếu được mua lại</t>
  </si>
  <si>
    <t>Số lượng cổ phiếu đang lưu hành</t>
  </si>
  <si>
    <t>Doanh thu thuần trao đổi sản phẩm, hàng hóa</t>
  </si>
  <si>
    <t>Chi phí nguyên liệu, vật liệu</t>
  </si>
  <si>
    <t>Chi phí nhân công</t>
  </si>
  <si>
    <t>Chi phí dịch vụ mua ngoài</t>
  </si>
  <si>
    <t>Lãi cơ bản trên cổ phiếu</t>
  </si>
  <si>
    <t>Thặng dư vốn cổ phần</t>
  </si>
  <si>
    <t>Quỹ đầu tư phát triển</t>
  </si>
  <si>
    <t>Quỹ dự phòng tài chính</t>
  </si>
  <si>
    <t xml:space="preserve">     Người lập biểu                                            Kế toán trưởng</t>
  </si>
  <si>
    <t>Tại Việt Nam</t>
  </si>
  <si>
    <t>Tại Cambodia</t>
  </si>
  <si>
    <t>Tăng vốn</t>
  </si>
  <si>
    <t>Thặng dư</t>
  </si>
  <si>
    <t>Bán cổ phiếu</t>
  </si>
  <si>
    <t>Các giao dịch loại trừ khi hợp nhất:</t>
  </si>
  <si>
    <t>Tỷ lệ biểu quyết</t>
  </si>
  <si>
    <t>Mẫu số B 01-DN</t>
  </si>
  <si>
    <t>A</t>
  </si>
  <si>
    <t>TÀI SẢN NGẮN HẠN</t>
  </si>
  <si>
    <t>Tiền</t>
  </si>
  <si>
    <t>Các khoản đầu tư tài chính ngắn hạn</t>
  </si>
  <si>
    <t>Mã số</t>
  </si>
  <si>
    <t>Thuyết minh</t>
  </si>
  <si>
    <t>V.1</t>
  </si>
  <si>
    <t>Các khoản phải thu ngắn hạn</t>
  </si>
  <si>
    <t>Phải thu khách hàng</t>
  </si>
  <si>
    <t xml:space="preserve">Công ty Cổ phần Chế Tạo Máy Dzĩ An </t>
  </si>
  <si>
    <t xml:space="preserve"> Mẫu B03-DN </t>
  </si>
  <si>
    <t>BÁO CÁO LƯU CHUYỂN TIỀN TỆ HỢP NHẤT</t>
  </si>
  <si>
    <t>(Theo phương pháp gián tiếp)</t>
  </si>
  <si>
    <t>Đơn vị tính: Đồng Việt Nam</t>
  </si>
  <si>
    <t>CHỈ TIÊU</t>
  </si>
  <si>
    <t>I. LƯU CHUYỂN TIỀN TỪ HOẠT ĐỘNG SẢN XUẤT, KINH DOANH</t>
  </si>
  <si>
    <t>1.</t>
  </si>
  <si>
    <t>Lợi nhuận trước thuế</t>
  </si>
  <si>
    <t>01</t>
  </si>
  <si>
    <t>2.</t>
  </si>
  <si>
    <t>Điều chỉnh cho các khoản :</t>
  </si>
  <si>
    <t>-  Khấu hao tài sản cố định</t>
  </si>
  <si>
    <t>02</t>
  </si>
  <si>
    <t>-  Các khoản dự phòng</t>
  </si>
  <si>
    <t>03</t>
  </si>
  <si>
    <t>-  Lãi, lỗ chênh lệch tỷ giá hối đoái chưa thực hiện</t>
  </si>
  <si>
    <t>04</t>
  </si>
  <si>
    <t>-  Lãi, lỗ từ hoạt động đầu tư</t>
  </si>
  <si>
    <t>05</t>
  </si>
  <si>
    <t>-  Chi phí lãi vay</t>
  </si>
  <si>
    <t>06</t>
  </si>
  <si>
    <t>3.</t>
  </si>
  <si>
    <t>Lợi nhuận từ hoạt động kinh doanh trước thay đổi vốn lưu động</t>
  </si>
  <si>
    <t>08</t>
  </si>
  <si>
    <t>-  Tăng (-), giảm (+) các khoản phải thu</t>
  </si>
  <si>
    <t>09</t>
  </si>
  <si>
    <t>-  Tăng (-), giảm (+) hàng tồn kho</t>
  </si>
  <si>
    <t>10</t>
  </si>
  <si>
    <t>-  Tăng (+), giảm (-) các khoản phải trả (không kể lãi   vay phải trả, thuế thu nhập phải nộp)</t>
  </si>
  <si>
    <t>11</t>
  </si>
  <si>
    <t>Dzma</t>
  </si>
  <si>
    <t>Chi nhanh</t>
  </si>
  <si>
    <t>Tonlebet</t>
  </si>
  <si>
    <t>cộng</t>
  </si>
  <si>
    <t>-  Tăng (-), giảm (+) chi phí trả trước</t>
  </si>
  <si>
    <t>12</t>
  </si>
  <si>
    <t>-  Tiền lãi vay đã trả</t>
  </si>
  <si>
    <t>13</t>
  </si>
  <si>
    <t>-  Thuế thu nhập doanh nghiệp đã nộp</t>
  </si>
  <si>
    <t>14</t>
  </si>
  <si>
    <t>-  Tiền thu khác từ hoạt động kinh doanh</t>
  </si>
  <si>
    <t>15</t>
  </si>
  <si>
    <t>-  Tiền chi khác từ hoạt động kinh doanh</t>
  </si>
  <si>
    <t>16</t>
  </si>
  <si>
    <t>Lưu chuyển tiền thuần từ hoạt động SXKD</t>
  </si>
  <si>
    <t>20</t>
  </si>
  <si>
    <t xml:space="preserve">II. LƯU CHUYỂN TIỀN TỪ HOẠT ĐỘNG ĐẦU TƯ </t>
  </si>
  <si>
    <t xml:space="preserve">1. </t>
  </si>
  <si>
    <t>Tiền chi để mua sắm, xây dựng TSCĐ và các TSDH khác</t>
  </si>
  <si>
    <t>21</t>
  </si>
  <si>
    <t>Thanh lý</t>
  </si>
  <si>
    <t>còn lại</t>
  </si>
  <si>
    <t xml:space="preserve">2. </t>
  </si>
  <si>
    <t>Tiền thu từ thanh lý, bán TSCĐ và các TSDH khác</t>
  </si>
  <si>
    <t>Tiền chi cho vay, mua bán công cụ nợ của đơn vị khác</t>
  </si>
  <si>
    <t>23</t>
  </si>
  <si>
    <t>4.</t>
  </si>
  <si>
    <t>Tiền thu hồi cho vay, bán lại các công cụ nợ của đơn vị khác</t>
  </si>
  <si>
    <t>24</t>
  </si>
  <si>
    <t>5.</t>
  </si>
  <si>
    <t>Tiền chi góp vốn đầu tư vào đơn vị khác</t>
  </si>
  <si>
    <t>25</t>
  </si>
  <si>
    <t>6.</t>
  </si>
  <si>
    <t>Tiền thu hồi vốn đầu tư vào đơn vị khác</t>
  </si>
  <si>
    <t>26</t>
  </si>
  <si>
    <t>7.</t>
  </si>
  <si>
    <t>Tiền thu từ lãi cho vay, cổ tức lợi nhuận được chia</t>
  </si>
  <si>
    <t xml:space="preserve">Lưu chuyển tiền từ hoạt động đầu tư </t>
  </si>
  <si>
    <t>30</t>
  </si>
  <si>
    <t xml:space="preserve">III. LƯU CHUYỂN TIỀN TỪ HOẠT ĐỘNG TÀI CHÍNH </t>
  </si>
  <si>
    <t>Tiền thu từ phát hành cổ phiếu, nhận vốn góp của chủ sở hữu</t>
  </si>
  <si>
    <t>31</t>
  </si>
  <si>
    <t>Tiền chi trả vốn góp cho các chủ sở hữu, mua lại cổ phiếu của doanh nghiệp đã phát hành</t>
  </si>
  <si>
    <t>32</t>
  </si>
  <si>
    <t>Tiền vay ngắn hạn, dài hạn nhận đươc</t>
  </si>
  <si>
    <t>33</t>
  </si>
  <si>
    <t>lệch do chênh lệch tỷ giá chuyển đổi</t>
  </si>
  <si>
    <t>Tiền chi trả nợ gốc vay</t>
  </si>
  <si>
    <t>34</t>
  </si>
  <si>
    <t>Tiền chi trả nợ thuê tài chính</t>
  </si>
  <si>
    <t>35</t>
  </si>
  <si>
    <t>Cổ tức, lợi nhuận đã trả cho chủ sở hữu</t>
  </si>
  <si>
    <t>36</t>
  </si>
  <si>
    <t>Lưu chuyển tiền thuần từ hoạt động tài chính</t>
  </si>
  <si>
    <t>40</t>
  </si>
  <si>
    <t>Lưu chuyển tiền thuần trong kỳ (50 = 20+ 30 + 40)</t>
  </si>
  <si>
    <t>50</t>
  </si>
  <si>
    <t>Tiền và tương đương tiền đầu kỳ</t>
  </si>
  <si>
    <t>60</t>
  </si>
  <si>
    <t>Ảnh hưởng của chênh lệch tỷ giá hối đoái quy đổi ngoại tệ</t>
  </si>
  <si>
    <t>Tiền và tương đương tiền cuối kỳ (70 = 50+60+61)</t>
  </si>
  <si>
    <t>70</t>
  </si>
  <si>
    <t xml:space="preserve">                     Tổng Giám đốc</t>
  </si>
  <si>
    <t xml:space="preserve">  Mẫu số B 09 - DN  </t>
  </si>
  <si>
    <t>I.</t>
  </si>
  <si>
    <t>ĐẶC ĐIỂM HOẠT ĐỘNG CỦA DOANH NGHIỆP</t>
  </si>
  <si>
    <r>
      <t>Thành lập:</t>
    </r>
    <r>
      <rPr>
        <b/>
        <sz val="11"/>
        <color indexed="10"/>
        <rFont val="Times New Roman"/>
        <family val="1"/>
      </rPr>
      <t xml:space="preserve"> </t>
    </r>
  </si>
  <si>
    <t xml:space="preserve">Công ty Cổ Phần Chế Tạo Máy Dzĩ An được thành lập theo Giấy Chứng Nhận Đăng ký kinh doanh Công Ty Cổ Phần số 4603000016 -đăng ký lần đầu ngày 19 tháng 01 năm 2001. Đăng ký lại theo giấy chứng nhận đăng ký doanh nghiệp cổ phần số 3700363445 được thay đổi lần thứ 10 vào ngày 06 tháng 06 năm 2012. </t>
  </si>
  <si>
    <r>
      <t xml:space="preserve">Trụ sở chính: </t>
    </r>
    <r>
      <rPr>
        <sz val="11"/>
        <rFont val="Times New Roman"/>
        <family val="1"/>
      </rPr>
      <t>Số 3 - Đường số 1, KCN Sóng Thần 1, Thị Xã Dĩ An - Tỉnh Bình Dương.</t>
    </r>
  </si>
  <si>
    <t>Ngày 11 tháng 06 năm 2009, Công ty chính thức niêm yết trên thị trường chứng khoán Việt Nam tại sàn giao dịch chứng khoán Hà Nội ( HASTC).</t>
  </si>
  <si>
    <r>
      <t>Mã chứng khoán niêm yết:</t>
    </r>
    <r>
      <rPr>
        <sz val="11"/>
        <rFont val="Times New Roman"/>
        <family val="1"/>
      </rPr>
      <t xml:space="preserve"> DZM.</t>
    </r>
  </si>
  <si>
    <r>
      <rPr>
        <b/>
        <i/>
        <sz val="11"/>
        <color indexed="62"/>
        <rFont val="Times New Roman"/>
        <family val="1"/>
      </rPr>
      <t>C</t>
    </r>
    <r>
      <rPr>
        <b/>
        <i/>
        <sz val="11"/>
        <rFont val="Times New Roman"/>
        <family val="1"/>
      </rPr>
      <t>ông ty có công ty con và chi nhánh được hợp nhất như sau:</t>
    </r>
  </si>
  <si>
    <t>Năm 2008, Chi nhánh Công ty cổ phần chế tạo máy Dzĩ An tại Cam-Pu-Chia có tên giao dịch DZIMA CAMPUCHIA. Giấy chứng nhận Đầu tư ra nước ngoài số 215/BKH-ĐTRNN cấp ngày 23 tháng 01 năm 2009 do Bộ Kế Hoạch Và Đầu Tư của Nước Công Hòa Xã Hội Chủ Nghĩa Việt Nam cấp.</t>
  </si>
  <si>
    <t>Địa chỉ chi nhánh: R.202.Phkar Chhouk Tep 2 Hotel; #10-12 St 336, Sangkart Phsar Doemkor, Khan Toul Kork, Phnom Penh, Cambodia.</t>
  </si>
  <si>
    <t>Tổng vốn đầu tư của dự án ra nước ngoài của Công Ty Cổ Phần Chế Tạo Máy Dzĩ An là 800.000 (Tám trăm nghìn) đô la Mỹ; tương đương 14.000.000.000 (mười bốn tỉ) đồng Việt Nam.</t>
  </si>
  <si>
    <t>Năm 2009, Công ty TNHH MTV Nhà Máy Điện Sinh Khối Tonle Bet được thành lập theo giấy chứng nhận đăng ký kinh doanh số: 1467/09E ngày 05 tháng 05 năm 2009 do Bộ Thương Mại Cambodia cấp và giấy chứng nhận đầu tư ra nước ngoài số 437/BKH ĐTRNN ngày 25/04/2011 do Bộ Kế hoạch Đầu tư Việt nam cấp. Tổng vốn đầu tư nhà máy 3.500.000 (ba triệu năm trăm nghìn) đô la Mỹ.</t>
  </si>
  <si>
    <t>Địa chỉ trụ sở chính: Ấp Tuol Vihea, Xã Shiro Pi Sok, Huyện Tboung Khmum, Tỉnh Kompong Cham, Cambodia.</t>
  </si>
  <si>
    <t>Ngành nghề kinh doanh: Nhà máy điện sinh khối chạy bằng trấu hay các loại phế liệu khác với công suất 3.000 KW.</t>
  </si>
  <si>
    <t xml:space="preserve">Hình thức sở hữu vốn: </t>
  </si>
  <si>
    <t>Cổ phần.</t>
  </si>
  <si>
    <t xml:space="preserve">Lĩnh vực kinh doanh: </t>
  </si>
  <si>
    <t>Sản xuất và kinh doanh.</t>
  </si>
  <si>
    <r>
      <t>Ngành nghề kinh doanh:</t>
    </r>
    <r>
      <rPr>
        <b/>
        <sz val="11"/>
        <color indexed="10"/>
        <rFont val="Times New Roman"/>
        <family val="1"/>
      </rPr>
      <t xml:space="preserve"> </t>
    </r>
  </si>
  <si>
    <t xml:space="preserve">Đặc điểm hoạt động của doanh nghiệp trong năm tài chính có ảnh hưởng đến báo cáo tài chính: </t>
  </si>
  <si>
    <t>Lạm phát tăng, tỷ giá tăng và lãi suất cho vay tăng ảnh hưởng đến toàn bộ chi phí đầu vào của công ty tăng theo.</t>
  </si>
  <si>
    <t>Tổng số nhân viên đến cuối năm:</t>
  </si>
  <si>
    <t>Người</t>
  </si>
  <si>
    <t>II.</t>
  </si>
  <si>
    <t>NIÊN ĐỘ KẾ TOÁN, ĐƠN VỊ TIỀN TỆ SỬ DỤNG TRONG KẾ TOÁN</t>
  </si>
  <si>
    <t>Niên độ kế toán</t>
  </si>
  <si>
    <t>Đơn vị tiền tệ sử dụng trong kế toán</t>
  </si>
  <si>
    <t xml:space="preserve">Đồng Việt Nam (VND) được sử dụng làm đơn vị tiền tệ để ghi sổ kế toán. </t>
  </si>
  <si>
    <t>III.</t>
  </si>
  <si>
    <t>CHUẨN MỰC VÀ CHẾ ĐỘ KẾ TOÁN ÁP DỤNG</t>
  </si>
  <si>
    <t>Chế độ kế toán áp dụng</t>
  </si>
  <si>
    <t>Công ty áp dụng hệ thống kế toán Việt Nam được Bộ Tài Chính ban hành theo Quyết Định số 15/2006/QĐ-BTC ngày 20 tháng 03 năm 2006 và các thông tư sửa đổi bổ sung.</t>
  </si>
  <si>
    <t>Tuyên bố về việc tuân thủ chuẩn mực kế toán và chế độ kế toán.</t>
  </si>
  <si>
    <t xml:space="preserve">Chúng tôi đã thực hiện công việc kế toán theo các chuẩn mực kế toán Việt Nam và các quy định pháp lý có liên quan. Báo cáo tài chính hợp nhất đã được trình bày một cách trung thực và hợp lý về tình hình tài chính hợp nhất, kết quả kinh doanh hợp nhất và các luồng tiền hợp nhất của doanh nghiệp. </t>
  </si>
  <si>
    <t>-----&gt; VAS 01</t>
  </si>
  <si>
    <t>Việc lựa chọn số liệu và thông tin cần phải trình bày trong bản Thuyết minh báo cáo tài chính hợp nhất được thực hiện theo nguyên tắc trọng yếu quy định tại chuẩn mực kế toán Việt Nam số 21 "Trình bày Báo Cáo Tài Chính" và chuẩn mực số 25 "Báo cáo tài chính hợp nhất".</t>
  </si>
  <si>
    <t>-----&gt; VAS 21</t>
  </si>
  <si>
    <t>Hình thức kế toán áp dụng</t>
  </si>
  <si>
    <t xml:space="preserve">Hình thức kế toán áp dụng: </t>
  </si>
  <si>
    <t>Nhật ký chung.</t>
  </si>
  <si>
    <t>IV.</t>
  </si>
  <si>
    <t>CÁC CHÍNH SÁCH KẾ TOÁN ÁP DỤNG</t>
  </si>
  <si>
    <t>Ước tính kế toán:</t>
  </si>
  <si>
    <t xml:space="preserve">Việc lập báo cáo tài chính hợp nhất tuân thủ theo các Chuẩn mực kế toán Việt nam. Hệ thống kế toán Việt nam và các quy định hiện hành khác về kế toán tại Việt Nam yêu cầu ban Tổng Giám đốc phải có những ước tính và giả định cho việc ghi nhận giá trị các tài sản, công nợ và việc trình bày các khoản tài sản, công nợ tiềm tàng tại ngày lập báo cáo tài chính hợp nhất cũng như các khoản mục doanh thu và chi phí trong kỳ. </t>
  </si>
  <si>
    <t>Cơ sở lập báo cáo tài chính hợp nhất:</t>
  </si>
  <si>
    <t xml:space="preserve">Các số dư nội bộ về công nợ phải thu, phải trả nội bộ; toàn bộ thu nhập, chi phí và các khoản lãi, lỗ chưa thực hiện phát sinh từ các giao dịch nội bộ được loại ra khi lập Báo cáo tài chính hợp nhất. </t>
  </si>
  <si>
    <t>Lợi ích của cổ đông thiểu số trong tài sản thuần của Công ty con hợp nhất được xác định là một chỉ tiêu riêng biệt tách khỏi phần vốn chủ sở hữu của cổ đông của Công ty. Lợi ích cổ đông thiểu số bao gồm vốn góp của cổ đông thiểu số và các biến động về vốn chủ sở hữu trong năm của cổ đông thiểu số trong công ty con. Các khoản lỗ tương ứng với phần vốn góp của cổ đông thiểu số vượt quá phần vốn của họ trong tổng vốn chủ sở hữu của Công ty con được tính giảm vào phần lợi ích của Công ty trừ khi cổ đông thiểu số có nghĩa vụ ràng buộc và có khả năng bù đắp khoản lỗ đó.</t>
  </si>
  <si>
    <t>Nguyên tắc ghi nhận các khoản tiền và tương đương tiền.</t>
  </si>
  <si>
    <r>
      <t xml:space="preserve">Tiền và các khoản tương đương tiền bao gồm: </t>
    </r>
    <r>
      <rPr>
        <sz val="11"/>
        <rFont val="Times New Roman"/>
        <family val="1"/>
      </rPr>
      <t>Tiền mặt tại quỹ, tiền gửi ngân hàng, tiền đang chuyển và các khoản đầu tư ngắn hạn có thời hạn gốc không quá ba tháng, có tính thanh khoản cao, có khả năng chuyển đổi dễ dàng thành các lượng tiền xác định và không có nhiều rủi ro trong chuyển đổi thành tiền.</t>
    </r>
  </si>
  <si>
    <t>---&gt; QD 15</t>
  </si>
  <si>
    <t>Phương pháp chuyển đổi các đồng tiền khác ra đồng tiền sử dụng trong kế toán.</t>
  </si>
  <si>
    <t>Các nghiệp vụ phát sinh trong kỳ bằng các đơn vị tiền tệ khác với Đồng Việt Nam (VNĐ) được quy đổi theo tỷ giá giao dịch thực tế của nghiệp vụ kinh tế tại thời điểm phát sinh, chênh lệch tỷ giá được tính vào thu nhập hoặc chi phí tài chính và được phản ánh trên Báo cáo kết quả kinh doanh trong kỳ.</t>
  </si>
  <si>
    <t>---&gt; VAS 10, QD 15 &amp; TT201/2009</t>
  </si>
  <si>
    <t>Phương pháp chuyển đổi các báo cáo tài chính của các đơn vị hoạt động tại nước ngoài khi hợp nhất Báo cáo tài chính.</t>
  </si>
  <si>
    <t>Thực hiện theo chuẩn mực kế toán số 10 "Ảnh hưởng của việc thay đổi tỷ giá hối đoái" theo quyết định 165/QĐ-BTC ngày 31/12/2002.</t>
  </si>
  <si>
    <t>Để phục vụ mục đích hợp nhất báo cáo tài chính, tài sản và công nợ liên quan đến hoạt động của Công ty tại nước ngoài được chuyển đổi sang đơn vị tiền tệ của Báo cáo theo tỷ giá tại ngày kết thúc kỳ kế toán. Các khoản thu nhập và chi phí được chuyển đổi theo tỷ giá bình quân trong kỳ báo cáo trừ khi tỷ giá có biến động lớn trong kỳ, trong trường hợp đó sẽ áp dụng tỷ giá tại ngày phát sinh nghiệp vụ.</t>
  </si>
  <si>
    <t>Tất cả các khoản chênh lệch tỷ giá hối đoái khi chuyển đổi Báo cáo tài chính của Công ty con tại nước ngoài để hợp nhất Báo cáo tài chính được phân loại như là vốn chủ sở hữu của Công ty cho đến khi thanh lý khoản đầu tư thuần đó sẽ được ghi nhận vào kết quả hoạt động kinh doanh của kỳ chấm dứt hoạt động tại nước ngoài.</t>
  </si>
  <si>
    <t>Nguyên tắc ghi nhận các khoản phải thu thương mại và phải thu khác:</t>
  </si>
  <si>
    <r>
      <t xml:space="preserve">Nguyên tắc ghi nhận các khoản phải thu: </t>
    </r>
    <r>
      <rPr>
        <sz val="11"/>
        <rFont val="Times New Roman"/>
        <family val="1"/>
      </rPr>
      <t>theo giá gốc trừ dự phòng cho các khoản phải thu khó đòi.</t>
    </r>
  </si>
  <si>
    <r>
      <t xml:space="preserve">Phương pháp lập dự phòng phải thu khó đòi: </t>
    </r>
    <r>
      <rPr>
        <sz val="11"/>
        <rFont val="Times New Roman"/>
        <family val="1"/>
      </rPr>
      <t>dự phòng phải thu khó đòi được ước tính cho phần giá trị bị tổn thất của các khoản nợ phải thu quá hạn thanh toán, nợ phải thu chưa quá hạn nhưng có thể không đòi được do khách nợ không có khả năng thanh toán.</t>
    </r>
  </si>
  <si>
    <t>QD15-TK 139-trang 77</t>
  </si>
  <si>
    <t>íh</t>
  </si>
  <si>
    <r>
      <t xml:space="preserve">Nguyên tắc ghi nhận hàng tồn kho: </t>
    </r>
    <r>
      <rPr>
        <sz val="11"/>
        <rFont val="Times New Roman"/>
        <family val="1"/>
      </rPr>
      <t>Hàng tồn kho được ghi nhận theo giá gốc (-) trừ dự phòng giảm giá và dự phòng cho hàng tồn kho lỗi thời, mất phẩm chất. Giá gốc hàng tồn kho bao gồm giá mua, chi phí chế biến và các chi phí liên quan trực tiếp khác phát sinh để có được hàng tồn kho ở địa điểm và trạng thái hiện tại.</t>
    </r>
  </si>
  <si>
    <t>---&gt; đoạn 04-05 VAS 02</t>
  </si>
  <si>
    <r>
      <t xml:space="preserve">Phương pháp tính giá trị hàng tồn kho: </t>
    </r>
    <r>
      <rPr>
        <sz val="11"/>
        <rFont val="Times New Roman"/>
        <family val="1"/>
      </rPr>
      <t>Theo giá bình quân gia quyền.</t>
    </r>
  </si>
  <si>
    <r>
      <t xml:space="preserve">Hạch toán hàng tồn kho: </t>
    </r>
    <r>
      <rPr>
        <sz val="11"/>
        <rFont val="Times New Roman"/>
        <family val="1"/>
      </rPr>
      <t>Phương pháp kê khai thường xuyên.</t>
    </r>
  </si>
  <si>
    <r>
      <t xml:space="preserve">Phương pháp lập dự phòng giảm giá hàng tồn kho: </t>
    </r>
    <r>
      <rPr>
        <sz val="11"/>
        <rFont val="Times New Roman"/>
        <family val="1"/>
      </rPr>
      <t xml:space="preserve">Dự phòng cho hàng tồn kho được trích lập khi giá trị thuần có thể thực hiện được của hàng tồn kho nhỏ hơn giá gốc. Giá trị thuần có thể thực hiện được là giá bán ước tính trừ đi chi phí ước tính để hoàn thành sản phẩm và chi phí bán hàng ước tính. Số dự phòng giảm giá hàng tồn kho là số chênh lệch giữa giá gốc hàng tồn kho lớn hơn giá trị thuần có thể thực hiện được của chúng. 
</t>
    </r>
  </si>
  <si>
    <t>---&gt; đoạn 18-19-20 VAS 02</t>
  </si>
  <si>
    <t>Nguyên tắc ghi nhận và khấu hao tài sản cố định (TSCĐ):</t>
  </si>
  <si>
    <t>6.1</t>
  </si>
  <si>
    <t>Nguyên tắc ghi nhận TSCĐ hữu hình:</t>
  </si>
  <si>
    <t>Tài sản cố định hữu hình được ghi nhận theo nguyên giá trừ đi (-) giá trị hao mòn lũy kế. Nguyên giá là toàn bộ các chi phí mà doanh nghiệp phải bỏ ra để có được tài sản cố định tính đến thời điểm đưa tài sản đó vào trạng thái sẵn sàng sử dụng theo dự tính. Các chi phí phát sinh sau ghi nhận ban đầu chỉ được ghi tăng nguyên giá tài sản cố định nếu các chi phí này chắc chắn làm tăng lợi ích kinh tế trong tương lai do sử dụng tài sản đó. Các chi phí không thỏa mãn điều kiện trên được ghi nhận là chi phí trong kỳ.</t>
  </si>
  <si>
    <t>----&gt; đoạn 05 - TT 203/2009</t>
  </si>
  <si>
    <t>Khi tài sản cố định được bán hoặc thanh lý, nguyên giá và khấu hao lũy kế được xóa sổ và bất kỳ khoản lãi lỗ nào phát sinh từ việc thanh lý đều được tính vào thu nhập hay chi phí trong kỳ.</t>
  </si>
  <si>
    <t>Xác định nguyên giá trong từng trường hợp</t>
  </si>
  <si>
    <t xml:space="preserve">Tài sản cố định hữu hình mua sắm </t>
  </si>
  <si>
    <t>Nguyên giá tài sản cố định bao gồm giá mua (trừ (-) các khoản được chiết khấu thương mại hoặc giảm giá), các khoản thuế (không bao gồm các khoản thuế được hoàn lại) và các chi phí liên quan trực tiếp đến việc đưa tài sản vào trạng thái sẵn sàng sử dụng, như chi phí lắp đặt, chạy thử, chuyên gia và các chi phí liên quan trực tiếp khác.</t>
  </si>
  <si>
    <t>Tài sản cố định hình thành do đầu tư xây dựng theo phương thức giao thầu, nguyên giá là giá quyết toán công trình đầu tư xây dựng, các chi phí liên quan trực tiếp khác và lệ phí trước bạ (nếu có).</t>
  </si>
  <si>
    <t>Tài sản cố định là nhà cửa, vật kiến trức gắn liền với quyền sử dụng đất thì giá trị quyền sử dụng đất được xác định riêng biệt và ghi nhận là tài sản cố định vô hình.</t>
  </si>
  <si>
    <t>Tài sản cố định hữu hình tự xây dựng hoặc tự chế</t>
  </si>
  <si>
    <t>Nguyên giá tài sản cố định hữu hình tự xây dựng hoặc tự chế là giá thành thực tế của tài sản cố định tự xây dựng hoặc tự chế, cộng (+) chi phí lắp đặt, chạy thử. Trường hợp Công ty dùng sản phẩm do mình sản xuất ra để chuyển thành tài sản cố định thì nguyên giá là chi phí sản xuất sản phẩm đó cộng (+) các chi phí trực tiếp liên quan đến việc đưa tài sản đó vào trạng thái sẵn sàng sử dụng. Trong các trường hợp trên, mọi khoản lãi nội bộ không được tính vào nguyên giá của tài sản đó.</t>
  </si>
  <si>
    <t>Tài sản cố định hữu hình mua dưới hình thức trao đổi</t>
  </si>
  <si>
    <t>Nguyên giá tài sản cố định hữu hình mua dưới hình thức trao đổi với một tài sản cố định hữu hình không tương tự hoặc tài sản khác được xác định theo giá trị hợp lý của tài sản cố định hữu hình nhận về, hoặc giá trị hợp lý của tài sản đem trao đổi, sau khi điều chỉnh các khoản tiền hoặc tương đương tiền trả thêm hoặc thu về.</t>
  </si>
  <si>
    <t>Nguyên giá tài sản cố định hữu hình mua dưới hình thức trao đổi với một tài sản cố định hữu hình tương tự, hoặc có thể hình thành do được bán để đổi lấy quyền sở hữu một tài sản tương tự. Trong cả hai trường hợp không có bất kỳ khoản lãi hay lỗ nào được ghi nhận trong quá trình trao đổi.</t>
  </si>
  <si>
    <t>Tài sản cố định hữu hình tăng từ các nguồn khác</t>
  </si>
  <si>
    <t>Nguyên giá tài sản cố định hữu hình được tài trợ, biếu tặng được ghi nhận ban đầu theo giá trị hợp lý ban đầu. Trường hợp không ghi nhận theo giá trị hợp lý ban đầu thì Công ty ghi nhận theo giá trị danh nghĩa cộng (+) các chi phí liên quan trực tiếp đến việc đưa tài sản vào trạng thái sẵn sàng sử dụng.</t>
  </si>
  <si>
    <t>6.2</t>
  </si>
  <si>
    <t>Nguyên tắc ghi nhận TSCĐ vô hình:</t>
  </si>
  <si>
    <r>
      <t>Tài sản cố định vô hình</t>
    </r>
    <r>
      <rPr>
        <sz val="11"/>
        <rFont val="Times New Roman"/>
        <family val="1"/>
      </rPr>
      <t xml:space="preserve"> được ghi nhận theo nguyên giá trừ đi (-) giá trị hao mòn lũy kế. Nguyên giá tài sản cố định vô hình là toàn bộ các chi phí mà doanh nghiệp phải bỏ ra để có được tài sản cố định vô hình tính đến thời điểm đưa tài sản đó vào sử dụng theo dự kiến.</t>
    </r>
  </si>
  <si>
    <t>Mua tài sản cố định vô hình riêng biệt</t>
  </si>
  <si>
    <t>Nguyên giá tài sản cố định vô hình mua riêng biệt bao gồm giá mua (trừ (-) các khoản được chiết khấu thương mại hoặc giảm giá), các khoản thuế (không bao gồm các khoản thuế được hoàn lại) và các chi phí liên quan trực tiếp đến việc đưa tài sản vào trạng thái sẵn sàng sử dụng. Khi quyền sử dụng đất được mua cùng với nhà cửa, vật kiến trúc trên đất thì giá trị quyền sử dụng đất được xác định riêng biệt và ghi nhận là tài sản cố định vô hình.</t>
  </si>
  <si>
    <t>Tài sản cố định vô hình hình thành từ việc trao đổi thanh toán bằng chứng từ liên quan đến quyền sở hữu vốn của đơn vị, nguyên giá tài sản cố định vô hình là giá trị hợp lý của các chứng từ được phát hành liên quan đến quyền sở hữu vốn.</t>
  </si>
  <si>
    <t>Mua tài sản cố định vô hình từ việc sát nhập doanh nghiệp</t>
  </si>
  <si>
    <t>Nguyên giá tài sản cố định vô hình hình thành trong quá trình sát nhập doanh nghiệp có tính chất mua lại là giá trị hợp lý của tài sản đó vào ngày mua.</t>
  </si>
  <si>
    <t xml:space="preserve">Tài sản cố định vô hình là quyền sử dụng đất </t>
  </si>
  <si>
    <t>Nguyên giá tài sản cố định vô hình là quyền sử dụng đất là số tiền trả khi nhận chuyển nhượng quyền sử dụng đất hợp pháp từ người khác, chi phí đền bù, giải phóng mặt bằng, san lấp mặt bằng, lệ phí trước bạ.., hoặc giá trị quyền sử dụng đất nhận góp vốn liên doanh.</t>
  </si>
  <si>
    <t>Phần mềm máy vi tính</t>
  </si>
  <si>
    <t>Phần mềm máy tính là toàn bộ các chi phí mà Công ty đã chi ra tính đến thời điểm đưa phần mềm vào sử dụng.</t>
  </si>
  <si>
    <t>Tài sản cố định vô hình tăng từ các nguồn khác</t>
  </si>
  <si>
    <t>Nguyên giá tài sản cố định vô hình được tài trợ, biếu tặng được ghi nhận ban đầu theo giá trị hợp lý ban đầu. Trường hợp không ghi nhận theo giá trị hợp lý ban đầu thì Công ty ghi nhận theo giá trị danh nghĩa cộng (+) các chi phí liên quan trực tiếp đến việc đưa tài sản vào trạng thái sẵn sàng sử dụng.</t>
  </si>
  <si>
    <t>Tài sản cố định vô hình mua dưới hình thức trao đổi</t>
  </si>
  <si>
    <t>Nguyên giá tài sản cố định vô hình mua dưới hình thức trao đổi với một tài sản cố định vô hình không tương tự hoặc tài sản khác được xác định theo giá trị hợp lý của tài sản cố định vô hình nhận về, hoặc giá trị hợp lý của tài sản đem trao đổi, sau khi điều chỉnh các khoản tiền hoặc tương đương tiền trả thêm hoặc thu về.</t>
  </si>
  <si>
    <t>Nguyên giá tài sản cố định vô hình mua dưới hình thức trao đổi với một tài sản cố định vô hình tương tự, hoặc có thể hình thành do được bán để đổi lấy quyền sở hữu một tài sản tương tự. Trong cả hai trường hợp không có bất kỳ khoản lãi hay lỗ nào được ghi nhận trong quá trình trao đổi.</t>
  </si>
  <si>
    <t>Tài sản cố định vô hình được tạo ra từ nội bộ doanh nghiệp</t>
  </si>
  <si>
    <t>Nguyên giá tài sản cố định vô hình được tạo ra từ nội bộ doanh nghiệp bao gồm toàn bộ chi phí phát sinh từ thời điểm mà tài sản vô hình đáp ứng được định nghĩa và tiêu chuẩn ghi nhận tài sản cố định vô hình đến khi tài sản được đưa vào sử dụng.</t>
  </si>
  <si>
    <t>4.3</t>
  </si>
  <si>
    <t>Nguyên tắc ghi nhận TSCĐ thuê tài chính:</t>
  </si>
  <si>
    <r>
      <t xml:space="preserve">Nguyên tắc ghi nhận tài sản cố định thuê tài chính: </t>
    </r>
    <r>
      <rPr>
        <sz val="11"/>
        <rFont val="Times New Roman"/>
        <family val="1"/>
      </rPr>
      <t>được ghi nhận theo nguyên giá trừ đi (-) giá trị hao mòn lũy kế. Nguyên giá của tài sản thuê tài chính được ghi nhận theo giá thấp hơn giữa giá trị hợp lý của tài sản thuê và giá trị hiện tại của khoản thanh toán tiền thuê tối thiểu, cộng với các chi phí trực tiêp phát sinh ban đầu liên quan đến hoạt động thuê tài chính. Tất cả các khoản thuê khác không phải là thuê tài chính đều được xem là thuê hoạt động.</t>
    </r>
  </si>
  <si>
    <t>---&gt; QD 15 ( page 85)</t>
  </si>
  <si>
    <t>6.3</t>
  </si>
  <si>
    <t xml:space="preserve">Phương pháp khấu hao TSCĐ </t>
  </si>
  <si>
    <t>Tài sản cố định được khấu hao theo phương pháp đường thẳng dựa trên thời gian sử dụng ước tính của tài sản. Thời gian hữu dụng ước tính là thời gian mà tài sản phát huy được tác dụng cho sản xuất kinh doanh.</t>
  </si>
  <si>
    <t>Thời gian hữu dụng ước tính của các TSCĐ như sau:</t>
  </si>
  <si>
    <t>---&gt; xem phụ lục 01 - TT203/2009/ nếu doanh nghiệp khác TT203, lưu ý thuế TNDN</t>
  </si>
  <si>
    <t xml:space="preserve"> 5 - 50 năm </t>
  </si>
  <si>
    <t>Máy móc, thiết bị</t>
  </si>
  <si>
    <t xml:space="preserve"> 3 - 20 năm </t>
  </si>
  <si>
    <t xml:space="preserve"> 4 - 30 năm </t>
  </si>
  <si>
    <t xml:space="preserve"> 5 - 10 năm </t>
  </si>
  <si>
    <t xml:space="preserve"> 5 năm </t>
  </si>
  <si>
    <t>Quyền sử dụng đất có thời hạn được khấu hao phù hợp với thời hạn trên giấy chứng nhận quyền sử dụng đất.</t>
  </si>
  <si>
    <t>Quyền sử dụng đất vô thời hạn được ghi nhận theo giá gốc và không tính khấu hao.</t>
  </si>
  <si>
    <t>Nguyên tắc ghi nhận chi phí xây dựng cơ bản dở dang:</t>
  </si>
  <si>
    <t>Chi phí xây dựng cơ bản dở dang được ghi nhận theo giá gốc. Chi phí này bao gồm: chi phí mua sắm mới tài sản cố định, xây dựng mới hoặc sửa chữa, cải tạo, mở rộng hay trang bị lại kỹ thuật công trình.</t>
  </si>
  <si>
    <t>Chi phí này được kết chuyển ghi tăng tài sản khi công trình hoàn thành, việc nghiệm thu tổng thể đã thực hiện xong, tài sản được bàn giao và đưa vào trạng thái sẵn sàng sử dụng.</t>
  </si>
  <si>
    <t>Nguyên tắc ghi nhận và khấu hao bất động sản đầu tư:</t>
  </si>
  <si>
    <r>
      <t>Nguyên tắc ghi nhận Bất động sản đầu tư:</t>
    </r>
    <r>
      <rPr>
        <sz val="11"/>
        <rFont val="Times New Roman"/>
        <family val="1"/>
      </rPr>
      <t xml:space="preserve"> được ghi nhận theo nguyên giá trừ đi (-) giá trị hao mòn lũy kế.</t>
    </r>
  </si>
  <si>
    <r>
      <t xml:space="preserve">Nguyên giá của bất động sản đầu tư: </t>
    </r>
    <r>
      <rPr>
        <sz val="11"/>
        <rFont val="Times New Roman"/>
        <family val="1"/>
      </rPr>
      <t>Là toàn bộ các chi phí bằng tiền hoặc tương đương tiền mà doanh nghiệp phải bỏ ra hoặc giá trị hợp lý của các khoản đưa ra để trao đổi nhằm có được bất động sản đầu tư tính đến thời điểm mua hoặc xây dựng hoàn thành bất động sản đầu tư đó.</t>
    </r>
  </si>
  <si>
    <t>---&gt; đoạn 05 - VAS 05</t>
  </si>
  <si>
    <t>Nguyên giá của bất động sản đầu tư được mua bao gồm giá mua và các chi phí liên quan trực tiếp như: phí dịch vụ tư vấn về pháp luật liên quan, thuế trước bạ, các chi phí liên quan khác.</t>
  </si>
  <si>
    <t>Lưu ý chỉnh cho phù hợp từng Cty</t>
  </si>
  <si>
    <t>Nguyên giá của bất động sản đầu tư tự xây dựng là giá thành thực tế và các chi phí liên quan trực tiếp của bất động sản đầu tư tính đến ngày hoàn thành công việc.</t>
  </si>
  <si>
    <t>Chi phí liên quan đến bất động sản đầu tư phát sinh sau ghi nhận ban đầu được ghi nhận là chi phí kinh doanh trong kỳ, trừ khi chi phí này có khả năng chắc chắn làm cho bất động sản đầu tư tạo ra lợi ích kinh tế trong tương lai nhiều hơn mức hoạt động được đánh giá ban đầu thì được ghi tăng nguyên giá bất động sản đầu tư.</t>
  </si>
  <si>
    <t>Khi bất động sản đầu tư được bán, nguyên giá và khấu hao luỹ kế được xoá sổ và bất kỳ khoản lãi lỗ nào phát sinh đều được hạch toán vào thu nhập hay chi phí trong kỳ.</t>
  </si>
  <si>
    <r>
      <t>Phương pháp khấu hao Bất động sản đầu tư:</t>
    </r>
    <r>
      <rPr>
        <sz val="11"/>
        <rFont val="Times New Roman"/>
        <family val="1"/>
      </rPr>
      <t xml:space="preserve"> khấu hao được ghi nhận theo phương pháp đường thẳng dựa trên thời gian hữu dụng ước tính của bất động sản đầu tư đó. </t>
    </r>
  </si>
  <si>
    <t>Thời gian hữu dụng ước tính của các bất động sản đầu tư như sau:</t>
  </si>
  <si>
    <t>8.</t>
  </si>
  <si>
    <t>Nguyên tắc ghi nhận các khoản đầu tư tài chính:</t>
  </si>
  <si>
    <r>
      <t xml:space="preserve">Nguyên tắc ghi nhận các khoản đầu tư vào công ty con: </t>
    </r>
    <r>
      <rPr>
        <sz val="11"/>
        <rFont val="Times New Roman"/>
        <family val="1"/>
      </rPr>
      <t>khoản đầu tư vào công ty con được ghi nhận khi Công ty nắm giữ trên 50% quyền biểu quyết và có quyền chi phối các chính sách tài chính và hoạt động, nhằm thu được lợi ích kinh tế từ các hoạt động của Công ty đó. Khi Công ty không còn nắm giữ quyền kiểm soát Công ty con thì ghi giảm khoản đầu tư vào công ty con. Các khoản đầu tư vào Công ty con được phản ánh trên báo cáo tài chính riêng công ty mẹ theo phương pháp giá gốc.</t>
    </r>
  </si>
  <si>
    <t>---&gt; đoạn 09 - VAS 25</t>
  </si>
  <si>
    <t>Phương pháp giá gốc là phương pháp kế toán mà khoản đầu tư được ghi nhận ban đầu theo giá gốc, sau đó không được điều chỉnh theo những thay đổi của phần sở hữu của các nhà đầu tư trong tài sản thuần của bên nhận đầu tư. Báo cáo kết quả hoạt động kinh doanh chỉ phản ánh khoản thu nhập của các nhà đầu tư được phân chia từ lợi nhuận thuần luỹ kế của bên nhận đầu tư phát sinh sau ngày đầu tư.</t>
  </si>
  <si>
    <r>
      <t xml:space="preserve">Nguyên tắc ghi nhận các khoản đầu tư vào công ty liên kết: </t>
    </r>
    <r>
      <rPr>
        <sz val="11"/>
        <rFont val="Times New Roman"/>
        <family val="1"/>
      </rPr>
      <t>được ghi nhận khi công ty nắm giữ từ 20% đến dưới 50% quyền biểu quyết của các Công ty được đầu tư, có ảnh hưởng đáng kể trong các quyết định về chính sách tài chính và hoạt động tại các công ty này. Các khoản đầu tư vào Công ty liên kết được phản ánh trên báo cáo tài chính hợp nhất theo phương pháp vốn chủ sở hữu.</t>
    </r>
  </si>
  <si>
    <t>---&gt; đoạn 04 -VAS07</t>
  </si>
  <si>
    <r>
      <t xml:space="preserve">Nguyên tắc ghi nhận các khoản vốn góp vào cơ sở kinh doanh đồng kiểm soát: </t>
    </r>
    <r>
      <rPr>
        <sz val="11"/>
        <rFont val="Times New Roman"/>
        <family val="1"/>
      </rPr>
      <t>được ghi nhận khi Công ty có quyền đồng kiểm soát các chính sách tài chính và hoạt động của cơ sở này. Khi Công ty không còn quyền đồng kiểm soát thì ghi giảm khoản đầu tư vào cơ sở kinh doanh đồng kiểm soát. Các khoản đầu tư này được phản ánh trên báo cáo tài chính theo phương pháp giá gốc.</t>
    </r>
  </si>
  <si>
    <t>---&gt; VAS 08 và TT244/2009/TT-BTC</t>
  </si>
  <si>
    <r>
      <t xml:space="preserve">Nguyên tắc ghi nhận các khoản đầu tư chứng khoán ngắn và dài hạn, đầu tư ngắn hạn và dài hạn khác: </t>
    </r>
    <r>
      <rPr>
        <sz val="11"/>
        <rFont val="Times New Roman"/>
        <family val="1"/>
      </rPr>
      <t>Là các khoản đầu tư như: trái phiếu, cổ phiếu, cho vay... hoặc các khoản vốn công ty đang đầu tư vào các tổ chức kinh tế khác được thành lập theo quy định của pháp luật mà chỉ nắm giữ dưới 20% quyền biểu quyết và thời hạn thu hồi dưới 1 năm (đầu tư ngắn hạn) hoặc trên 1 năm (đầu tư dài hạn). Các khoản đầu tư này được phản ánh trên báo cáo tài chính theo phương pháp giá gốc.</t>
    </r>
  </si>
  <si>
    <t>---&gt; QD15</t>
  </si>
  <si>
    <t>Phương pháp lập dự phòng giảm giá các khoản đầu tư tài chính:</t>
  </si>
  <si>
    <t>Dự phòng giảm giá chứng khoán đầu tư ngắn hạn và dài hạn được lập khi giá trị thuần có thể thực hiện được (giá thị trường) của chứng khoán đầu tư giảm xuống thấp hơn giá gốc.</t>
  </si>
  <si>
    <t>QD15</t>
  </si>
  <si>
    <t>Dự phòng tổn thất các khoản đầu tư tài chính dài hạn được lập khi Công ty khi xác định được các khoản đầu tư này bị giảm sút giá trị không phải tạm thời và ngoài kế hoạch do kết quả hoạt động của các công ty được đầu tư bị lỗ.</t>
  </si>
  <si>
    <t xml:space="preserve">Mức lập dự phòng được xác định bằng chênh lệch giữa giá trị thuần có thể thực hiện được (giá thị trường) hoặc giá trị khoản đầu tư có thể thu hồi được và giá gốc ghi trên sổ kế toán của các khoản đầu tư. </t>
  </si>
  <si>
    <t>9.</t>
  </si>
  <si>
    <t>Nguyên tắc ghi nhận và vốn hoá các khoản chi phí đi vay:</t>
  </si>
  <si>
    <r>
      <t xml:space="preserve">Nguyên tắc ghi nhận chi phí đi vay: </t>
    </r>
    <r>
      <rPr>
        <sz val="11"/>
        <rFont val="Times New Roman"/>
        <family val="1"/>
      </rPr>
      <t>Là lãi tiền vay và các chi phí khác phát sinh liên quan trực tiếp đến các khoản vay của doanh nghiệp; Được ghi nhận như khoản chi phí sản xuất, kinh doanh trong kỳ trừ khi chi phí này phát sinh từ các khoản vay liên quan trực tiếp đến việc đầu tư xây dựng hoặc sản xuất tài sản dở dang được tính vào giá trị tài sản đó (được vốn hóa) khi có đủ điều kiện quy định tại chuẩn mực kế toán số 16 " Chi phí đi vay".</t>
    </r>
  </si>
  <si>
    <t>---&gt; đoạn 03,06,07 VAS 16</t>
  </si>
  <si>
    <r>
      <t xml:space="preserve">Tỷ lệ vốn hóa được sử dụng để xác định chi phí đi vay được vốn hóa trong kỳ: </t>
    </r>
    <r>
      <rPr>
        <sz val="11"/>
        <rFont val="Times New Roman"/>
        <family val="1"/>
      </rPr>
      <t>Trường hợp phát sinh các khoản vốn vay chung, trong đó có sử dụng cho mục đích đầu tư xây dựng hoặc sản xuất một tài sản dở dang thì số chi phí đi vay có đủ điều kiện vốn hóa trong mỗi kỳ kế toán được xác định theo tỷ lệ vốn hóa đối với chi phí lũy kế bình quân gia quyền phát sinh cho việc đầu tư xây dựng hoặc sản xuất tài sản đó. Tỷ lệ vốn hóa được tính theo tỷ lệ lãi suất bình quân gia quyền của các khoản vay chưa trả trong kỳ của doanh nghiệp. Chi phí đi vay được vốn hóa trong kỳ không được vượt quá tổng số chi phí đi vay phát sinh trong kỳ đó.</t>
    </r>
  </si>
  <si>
    <t>---&gt; đoạn 11 VAS 16</t>
  </si>
  <si>
    <t>10.</t>
  </si>
  <si>
    <t>Nguyên tắc ghi nhận và vốn hoá các khoản chi phí khác:</t>
  </si>
  <si>
    <r>
      <t xml:space="preserve">Chi phí trả trước ngắn hạn và dài hạn tại công ty bao gồm: </t>
    </r>
    <r>
      <rPr>
        <sz val="11"/>
        <rFont val="Times New Roman"/>
        <family val="1"/>
      </rPr>
      <t>Chi phí thành lập doanh nghiệp, tiền thuê nhà xưởng văn phòng, các khoản bảo hiểm có kỳ hạn, bao bì luân chuyển, lãi mua hàng trả góp, trả chậm và các chi phí khác... liên quan đến hoạt động sản xuất kinh doanh của nhiều kỳ kế toán cần phải phân bổ.</t>
    </r>
  </si>
  <si>
    <t>---&gt; QÑ 15</t>
  </si>
  <si>
    <r>
      <t xml:space="preserve">Phương pháp phân bổ chi phí trả trước: </t>
    </r>
    <r>
      <rPr>
        <sz val="11"/>
        <rFont val="Times New Roman"/>
        <family val="1"/>
      </rPr>
      <t xml:space="preserve">Việc tính và phân bổ chi phí trả trước vào chí phí SXKD từng kỳ theo phương pháp đường thẳng. Căn cứ vào tính chất và mức độ từng loại chi phí mà có thời gian phân bổ như sau: chi phí trả trước ngắn hạn phân bổ trong vòng 12 tháng; chi phí trả trước dài hạn phân bổ từ 12 đến 120 tháng. </t>
    </r>
  </si>
  <si>
    <r>
      <t xml:space="preserve">Phương pháp phân bổ lợi thế thương mại: </t>
    </r>
    <r>
      <rPr>
        <sz val="11"/>
        <rFont val="Times New Roman"/>
        <family val="1"/>
      </rPr>
      <t>Lợi thế thương mại ghi ngay vào chi phí sản xuất kinh doanh hoặc phân bổ dần một cách có hệ thống trong suốt thời gian hữu dụng ước tính. Thời gian hữu ích ước tính của lợi thế thương mại tối đa không quá 10 năm kể từ ngày ghi nhận.</t>
    </r>
  </si>
  <si>
    <t>---&gt; 02 - TT 21/2006/TT-BTC</t>
  </si>
  <si>
    <t>11.</t>
  </si>
  <si>
    <t>Nguyên tắc và phương pháp ghi nhận chi phí phải trả:</t>
  </si>
  <si>
    <r>
      <t xml:space="preserve">Chi phí phải trả: </t>
    </r>
    <r>
      <rPr>
        <sz val="11"/>
        <rFont val="Times New Roman"/>
        <family val="1"/>
      </rPr>
      <t>được ghi nhận dựa trên các ước tính hợp lý về số tiền phải trả cho các hàng hoá, dịch vụ đã sử dụng trong kỳ gồm những chi phí sau: chi phí bán hàng, lãi vay phải trả, các chi phí phải trả khác.</t>
    </r>
  </si>
  <si>
    <t>12.</t>
  </si>
  <si>
    <t>Nguyên tắc và phương pháp ghi nhận các khoản dự phòng phải trả:</t>
  </si>
  <si>
    <r>
      <t xml:space="preserve">Dự phòng phải trả chỉ được ghi nhận khi thỏa mãn các điều kiện sau: </t>
    </r>
    <r>
      <rPr>
        <sz val="11"/>
        <rFont val="Times New Roman"/>
        <family val="1"/>
      </rPr>
      <t>Doanh nghiệp có nghĩa vụ nợ hiện tại (nghĩa vụ pháp lý hoặc nghĩa vụ liên đới) do kết quả từ một sự kiện đã xảy ra; Sự giảm sút về những lợi ích kinh tế có thể xảy ra dẫn đến việc yêu cầu phải thanh toán nghĩa vụ nợ; Và đưa ra một ước tính đáng tin cậy về giá trị của nghĩa vụ nợ đó. Dự phòng phải trả của Công ty là khoản dự phòng bảo hành sản phẩm máy phát điện.</t>
    </r>
  </si>
  <si>
    <t>---&gt; đoạn 11 - VAS 18</t>
  </si>
  <si>
    <r>
      <t xml:space="preserve">Giá trị được ghi nhận của một khoản dự phòng phải trả: </t>
    </r>
    <r>
      <rPr>
        <sz val="11"/>
        <rFont val="Times New Roman"/>
        <family val="1"/>
      </rPr>
      <t>Là giá trị được ước tính hợp lý nhất về khoản tiền sẽ phải chi để thanh toán nghĩa vụ nợ hiện tại tại ngày kết thúc kỳ kế toán. Công ty trích lập theo tỷ lệ ước tính hợp lý trên doanh thu phát sinh trong năm.</t>
    </r>
  </si>
  <si>
    <t>13.</t>
  </si>
  <si>
    <t>Nguyên tắc ghi nhận vốn chủ sở hữu</t>
  </si>
  <si>
    <t xml:space="preserve">Nguyên tắc ghi nhận vốn đầu tư của chủ sở hữu: </t>
  </si>
  <si>
    <t xml:space="preserve">Nguồn vốn kinh doanh do các thành viên góp vốn, hoặc được bổ sung từ lợi nhuận sau thuế của hoạt động kinh doanh. Nguồn vốn kinh doanh được ghi nhận theo số vốn thực tế đã góp bằng tiền hoặc bằng tài sản khi mới thành lập, hoặc huy động thêm để mở rộng quy mô hoạt động của công ty. </t>
  </si>
  <si>
    <t>+ Đối với công ty trách nhiệm hữu hạn và công ty hợp danh: 'CHỌN TỦY THEO LOẠI HÌNH MÌNH KIỂM TOÁN</t>
  </si>
  <si>
    <t xml:space="preserve">Nguồn vốn kinh doanh được hình thành từ số tiền mà các thành viên hay cổ đông đã góp vốn mua cổ phần, cổ phiếu, hoặc được bổ sung từ lợi nhuận sau thuế theo Nghị Quyết của Đại Hội Đồng cổ đông hoặc theo quy định trong điều lệ hoạt động của Công ty. Nguồn vốn kinh doanh được ghi nhận theo số vốn thực tế đã góp bằng tiền hoặc bằng tài sản tính theo mệnh giá của cổ phiếu đã phát hành khi mới thành lập, hoặc huy động thêm để mở rộng quy mô hoạt động của công ty. </t>
  </si>
  <si>
    <t>Nguồn vốn kinh doanh được nhà nước giao vốn, được điều động từ các doanh nghiệp trong nội bộ Tổng công ty, vốn do công ty mẹ đầu tư vào công ty con, các khoản chênh lệch do đánh giá lại tài sản hoặc được bổ sung từ các quỹ, được trích từ lợi nhuận sau thuế của hoạt động kinh doanh. Nguồn vốn kinh doanh được ghi nhận theo số vốn Ngân sách Nhà nước giao.</t>
  </si>
  <si>
    <t>Nguyên tắc ghi nhận thặng dư vốn cổ phần và vốn khác.</t>
  </si>
  <si>
    <r>
      <t xml:space="preserve">+ Thặng dư  vốn cổ phần: </t>
    </r>
    <r>
      <rPr>
        <sz val="11"/>
        <rFont val="Times New Roman"/>
        <family val="1"/>
      </rPr>
      <t>Phản ánh khoản chênh lệch tăng giữa số tiền thực tế thu được so với mệnh giá khi  phát hành lần đầu hoặc phát hành bổ sung cổ phiếu và chênh lệch tăng, giảm giữa số tiền thực tế thu được so với giá mua lại khi tái phát hành cổ phiếu quỹ. Trường hợp mua lại cổ phiếu để hủy bỏ ngay tại ngày mua thì giá trị cổ phiếu được ghi giảm nguồn vốn kinh doanh tại ngày mua là giá thực tế mua lại và cũng phải ghi giảm nguồn vốn kinh doanh chi tiết theo mệnh giá và phần thặng dư vốn cổ phần của cổ phiếu mua lại.</t>
    </r>
  </si>
  <si>
    <r>
      <t xml:space="preserve">+ Vốn khác: </t>
    </r>
    <r>
      <rPr>
        <sz val="11"/>
        <rFont val="Times New Roman"/>
        <family val="1"/>
      </rPr>
      <t>Phản ánh số vốn kinh doanh được hình thành do bổ sung từ kết quả hoạt động kinh doanh hoặc được tặng, biếu, tài trợ, đánh giá lại tài sản.</t>
    </r>
  </si>
  <si>
    <t>+ Nguyên tắc ghi nhận chênh lệch đánh giá lại tài sản.</t>
  </si>
  <si>
    <t>Tài sản được đánh giá lại chủ yếu là TSCĐ, bất động sản đầu tư, một số trường hợp cần thiết đánh giá lại vật tư, công cụ dụng cụ, thành phẩm, hàng hóa, sản phẩm dở dang…. Chênh lệch đánh giá lại tài sản được ghi nhận khi có quyết định của Nhà nước về đánh giá lại tài sản; Khi thực hiện cổ phần hóa doanh nghiệp Nhà Nước; Khi chuyển đổi hình thức sở hữu doanh nghiệp theo quy định...Giá trị tài sản được xác định lại trên cơ sở bảng giá Nhà nước quy định hoặc Hội đồng định giá tài sản thống nhất xác định.</t>
  </si>
  <si>
    <t>+ Nguyên tắc ghi nhận chênh lệch tỷ giá.</t>
  </si>
  <si>
    <r>
      <t xml:space="preserve">Chênh lệch tỷ giá được phản ánh là số chênh lệch tỷ giá hối đoái phát sinh hoặc đánh giá lại cuối kỳ của các khoản mục tiền tệ có gốc ngoại tệ (lãi hoặc lỗ tỷ giá) và </t>
    </r>
    <r>
      <rPr>
        <sz val="11"/>
        <color indexed="56"/>
        <rFont val="Times New Roman"/>
        <family val="1"/>
      </rPr>
      <t>khoản chênh lệch tỷ giá hối đoái khi chuyển đổi báo cáo tài chính công ty con tại nước ngoài để hợp nhất báo cáo tài chính công ty mẹ tại Việt nam.</t>
    </r>
  </si>
  <si>
    <t>+ Nguyên tắc ghi nhận lợi nhuận chưa phân phối.</t>
  </si>
  <si>
    <t>Nguyên tắc ghi nhận lợi nhuận chưa phân phối: được ghi nhận là số lợi nhuận (hoặc lỗ) từ kết quả hoạt động kinh doanh của doanh nghiệp sau khi trừ (-) chi phí thuế thu nhập doanh nghiệp của kỳ hiện hành và các khoản điều chỉnh do áp dụng hồi tố thay đổi chính sách kế toán và điều chỉnh hồi tố sai sót trọng yếu của các năm trước.</t>
  </si>
  <si>
    <t>Việc phân phối lợi nhuận được căn cứ vào điều lệ Công ty được thông qua Đại hội đồng cổ đông hàng năm.</t>
  </si>
  <si>
    <t>14.</t>
  </si>
  <si>
    <t>Nguyên tắc và phương pháp ghi nhận Doanh thu</t>
  </si>
  <si>
    <t>Nguyên tắc và phương pháp ghi nhận doanh thu bán hàng</t>
  </si>
  <si>
    <t>Doanh thu bán hàng được ghi nhận khi đồng thời thỏa mãn 5 điều kiện sau: 1. Doanh nghiệp đã chuyển giao phần lớn rủi ro và lợi ích gắn liền quyền sở hữu sản phẩm hoặc hàng hóa cho người mua; 2. Doanh nghiệp không còn nắm giữ quyền quản lý hàng hóa như người sở hữu hàng hóa hoặc quyền kiểm soát hàng hóa; 3. Doanh thu được xác định tương đối chắc chắn; 4. Doanh nghiệp đã thu được lợi ích kinh tế từ giao dịch bán hàng; 5. Xác định chi phí liên quan đến giao dịch bán hàng.</t>
  </si>
  <si>
    <t>---&gt; Đoạn 10 - VAS 14</t>
  </si>
  <si>
    <t>Nguyên tắc và phương pháp ghi nhận doanh thu cung cấp dịch vụ</t>
  </si>
  <si>
    <t>Doanh thu của giao dịch về cung cấp dịch vụ được ghi nhận khi kết quả của giao dịch đó được xác định một cách đáng tin cậy. Trường hợp giao dịch về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tất cả bốn (4) điều kiện: 1. Doanh thu được xác định tương đối chắc chắn; 2. Có khả năng thu được lợi ích kinh tế từ giao dịch cung cấp dịch vụ đó; 3. Xác định được phần công việc đã hoàn thành vào ngày lập bảng Cân đối kế toán; 4. Xác định được chi phí phát sinh cho giao dịch và chi phí hoàn thành giao dịch cung cấp dịch vụ đó.</t>
  </si>
  <si>
    <t>---&gt; Đoạn 16 - VAS 14</t>
  </si>
  <si>
    <t>Nếu không thể xác định được kết quả hợp đồng một cách chắc chắn, doanh thu sẽ chỉ được ghi nhận ở mức có thể thu hồi được của các chi phí đã được ghi nhận.</t>
  </si>
  <si>
    <t>Nguyên tắc và phương pháp ghi nhận doanh thu hoạt động tài chính</t>
  </si>
  <si>
    <t xml:space="preserve">Doanh thu hoạt động tài chính phản ánh doanh thu từ tiền lãi, cổ tức, lợi nhuận được chia và doanh thu hoạt động tài chính khác của doanh nghiệp (đầu tư mua bán chứng khoán, thanh lý các khoản vốn góp liên doanh, đầu tư vào công ty liên kết, công ty con, đầu tư vốn khác; lãi tỷ giá hối đoái; Lãi chuyển nhượng vốn)... </t>
  </si>
  <si>
    <t>Doanh thu phát sinh từ tiền lãi, cổ tức và lợi nhuận được chia của doanh nghiệp được ghi nhận khi thỏa mãn đồng thời 2 điều kiện: 1. Có khả năng thu được lợi ích từ giao dịch đó; 2. Doanh thu được xác định tương đối chắc chắn.</t>
  </si>
  <si>
    <t>---&gt; Đoạn 24 - VAS 14</t>
  </si>
  <si>
    <t>- Tiền lãi được ghi nhận trên cơ sở thời gian và lãi suất thực tế từng kỳ.</t>
  </si>
  <si>
    <t>---&gt; Đoạn 25 - VAS 14</t>
  </si>
  <si>
    <t>- Tiền bản quyền được ghi nhận trên cơ sở dồn tích phù hợp với hợp đồng.</t>
  </si>
  <si>
    <t>- Cổ tức và lợi nhuận được chia được ghi nhận khi cổ đông được quyền nhận cổ tức hoặc các bên tham gia góp vốn được quyền nhận lợi nhuận từ việc góp vốn.</t>
  </si>
  <si>
    <t>Khi không thể thu hồi một khoản mà trước đó đã ghi vào doanh thu thì khoản có khả năng không thu hồi được hoặc không chắc chắn thu hồi được đó phải hạch toán vào chi phí phát sinh trong kỳ, không ghi giảm doanh thu.</t>
  </si>
  <si>
    <t>---&gt; Đoạn 29 - VAS 14</t>
  </si>
  <si>
    <t>Nguyên tắc và phương pháp ghi nhận doanh thu hợp đồng xây dựng</t>
  </si>
  <si>
    <r>
      <t xml:space="preserve">Doanh thu của hợp đồng xây dựng bao gồm: </t>
    </r>
    <r>
      <rPr>
        <sz val="11"/>
        <rFont val="Times New Roman"/>
        <family val="1"/>
      </rPr>
      <t>Doanh thu ban đầu được ghi nhận trong hợp đồng; và các khoản tăng, giảm khi thực hiện hợp đồng, các khoản tiền thưởng và các khoản thanh toán khác nếu các khoản này có khả năng làm thay đổi doanh thu, và có thể xác định được một cách đáng tin cậy. Doanh thu của hợp đồng xây dựng được xác định bằng giá trị hợp lý của các khoản đã thu hoặc sẽ thu được. Việc xác định doanh thu của hợp đồng chịu tác động của nhiều yếu tố không chắc chắn vì chúng tuỳ thuộc vào các sự kiện sẽ xảy ra trong tương lai. Việc ước tính thường phải được sửa đổi khi các sự kiện đó phát sinh và những yếu tố không chắc chắn được giải quyết. Vì vậy, doanh thu của hợp đồng có thể tăng hay giảm ở từng thời kỳ.</t>
    </r>
  </si>
  <si>
    <t>---&gt; đoạn 11, 12 - VAS 15</t>
  </si>
  <si>
    <t>Ghi nhận doanh thu và chi phí của hợp đồng xây dựng được ghi nhận theo 2 trường hợp sau:</t>
  </si>
  <si>
    <t>Tùy tình hình công ty mà trình bày 1 trong 2 trường hợp, hoặc cả 2 trường hợp cho phù hợp</t>
  </si>
  <si>
    <r>
      <t xml:space="preserve">1. Trường hợp hợp đồng xây dựng quy định nhà thầu được thanh toán theo tiến độ kế hoạch: </t>
    </r>
    <r>
      <rPr>
        <sz val="11"/>
        <rFont val="Times New Roman"/>
        <family val="1"/>
      </rPr>
      <t>khi kết quả thực hiện hợp đồng xây dựng được ước tính một cách đáng tin cậy, thì doanh thu và chi phí liên quan đến hợp đồng được ghi nhận tương ứng với phần công việc đã hoàn thành do nhà thầu tự xác định vào ngày lập báo  cáo tài chính mà không phụ thuộc vào hóa đơn thanh toán theo tiến độ kế hoạch đã lập hay chưa và số tiền ghi trên hóa đơn là bao nhiêu.</t>
    </r>
  </si>
  <si>
    <t>---&gt; đoạn 22 - VAS 15</t>
  </si>
  <si>
    <r>
      <t xml:space="preserve">2. Trường hợp hợp đồng xây dựng quy định nhà thầu thanh toán theo giá trị khối lượng thực hiện: </t>
    </r>
    <r>
      <rPr>
        <sz val="11"/>
        <rFont val="Times New Roman"/>
        <family val="1"/>
      </rPr>
      <t>khi kết quả thực hiện hợp đồng xây dựng được xác định một cách đáng tin cậy và được khách hàng xác nhận tương ứng với phần công việc đã hoàn thành được khách hàng xác nhận trong kỳ được phản ánh trên hóa đơn đã lập.</t>
    </r>
  </si>
  <si>
    <t>Đối với hợp đồng xây dựng giá cố định, kết quả của hợp đồng được ước tính một cách đáng tin cậy khi thỏa mãn đồng thời 4 điều kiện: 1. Tổng doanh thu của hợp đồng được tính toán một cách đáng tin cậy; 2. Doanh nghiệp thu được lợi ích kinh tế từ hợp đồng; 3. Chi phí để hoàn thành hợp đồng và phần công việc đã hoàn thành tại thời điểm lập báo cáo tài chính được tính toán một cách đáng tin cậy; 4. Các khoản chi phí liên quan đến hợp đồng có thể xác định được rõ ràng và tính toán một cách đáng tin cậy để tổng chi phí thực tế của hợp đồng có thể so sánh được với tổng dự toán.</t>
  </si>
  <si>
    <t>Đối với hợp đồng xây dựng với chi phí phụ thêm, kết quả của hợp đồng được ước tính một cách đáng tin cậy khi thỏa mãn đồng thời 2 điều kiện: 1. Doanh nghiệp thu được lợi ích kinh tế từ hợp đồng; 2. Các khoản chi phí liên quan đến hợp đồng có thể xác định được rõ ràng và tính toán một cách đáng tin cậy không kể có được hoàn trả hay không.</t>
  </si>
  <si>
    <t>15.</t>
  </si>
  <si>
    <t>Nguyên tắc và phương pháp ghi nhận chi phí tài chính</t>
  </si>
  <si>
    <r>
      <t xml:space="preserve">Chi phí tài chính bao gồm: </t>
    </r>
    <r>
      <rPr>
        <sz val="11"/>
        <rFont val="Times New Roman"/>
        <family val="1"/>
      </rPr>
      <t>Các khoản chi phí hoặc khoản lỗ liên quan đến các hoạt động đầu tư tài chính, chi phí cho vay và đi vay vốn, chi phí góp vốn liên doanh, liên kết, lỗ chuyển nhượng chứng khoán ngắn hạn, chi phí giao dịch bán chứng khoán..; Dự phòng giảm giá đầu tư tài chính, khoản lỗ phát sinh khi bán ngoại tệ, lỗ tỷ giá hối đoái; Chiết khấu thanh toán cho người mua và các khoản chi phí tài chính khác.</t>
    </r>
  </si>
  <si>
    <t>Khoản chi phí tài chính được ghi nhận chi tiết cho từng nội dung chi phí khi thực tế phát sinh trong kỳ và được xác định một cách đáng tin cậy khi có đầy đủ bằng chứng về các khoản chi phí này.</t>
  </si>
  <si>
    <t>16.</t>
  </si>
  <si>
    <t>Nguyên tắc và phương pháp ghi nhận chi phí thuế TNDN hiện hành, chi phí thuế TNDN hoãn lại</t>
  </si>
  <si>
    <t>Chi phí thuế thu nhập doanh nghiệp được xác định gồm tổng chi phí thuế thu nhập doanh nghiệp hiện hành và chi phí thuế thu nhập doanh nghiệp hoãn lại khi xác định lợi nhuận hoặc lỗ của một kỳ kế toán</t>
  </si>
  <si>
    <t>---&gt; đoạn 03 - VAS 17</t>
  </si>
  <si>
    <t>Chi phí thuế thu nhập doanh nghiệp hiện hành: là số thuế thu nhập doanh nghiệp phải nộp (hoặc thu hồi được) tính trên thu nhập chịu thuế và thuế suất thuế thu nhập doanh nghiệp của năm hiện hành theo luật thuế TNDN hiện hành được ghi nhận.</t>
  </si>
  <si>
    <t>Chi phí thuế thu nhập doanh nghiệp hoãn lại được xác định cho các khoản chênh lệch tạm thời tại ngày lập bảng cân đối kế toán giữa cơ sở tính thuế thu nhập của các tài sản, nợ phải trả và giá trị ghi sổ của chúng cho mục đích báo cáo tài chính và giá trị sử dụng cho mục đích thuế. Thuế thu nhập hoãn lại phải trả được ghi nhận cho tất cả các khoản chênh lệch tạm thời, còn tài sản thuế thu nhập hoãn lại chỉ được ghi nhận khi chắc chắn có đủ lợi nhuận tính thuế trong tương lai để khấu trừ các khoản chênh lệch tạm thời.</t>
  </si>
  <si>
    <t>Giá trị ghi sổ của tài sản thuế thu nhập doanh nghiệp hoãn lại phải được xem xét lại vào ngày kết thúc niên độ kế toán và phải giảm giá trị ghi sổ của tài sản thuế thu nhập hoãn lại đến mức bảo đảm chắc chắn có đủ lợi nhuận tính thuế cho phép lợi ích của một phần hoặc toàn bộ tài sản thuế thu nhập hoãn lại được sử dụng. Các tài sản thuế thu nhập doanh nghiệp hoãn lại chưa ghi nhận trước đây được xem xét lại vào ngày kết thúc niên độ kế toán và được ghi nhận khi chắc chắn có đủ lợi nhuận tính thuế để có thể sử dụng các tài sản thuế thu nhập hoãn lại chưa ghi nhận này.</t>
  </si>
  <si>
    <t>Thuế thu nhập hoãn lại được ghi nhận vào báo cáo kết quả hoạt động kinh doanh ngoại trừ trường hợp thuế thu nhập phát sinh liên quan đến một khoản mục được ghi thẳng vào vốn chủ sở hữu, trong trường hợp này, thuế thu nhập hoãn lại cũng được ghi nhận trực tiếp vào vốn chủ sở hữu.</t>
  </si>
  <si>
    <t>Doanh nghiệp chỉ bù trừ các tài sản thuế thu nhập hoãn lại và thuế thu nhập hoãn lại phải trả khi doanh nghiệp có quyền hợp pháp được bù trừ giữa tài sản thuế thu nhập hiện hành với thuế thu nhập hiện hành phải nộp và các tài sản thuế thu nhập hoãn lại và thuế thu nhập hoãn lại phải trả liên quan tới thuế thu nhập doanh nghiệp được quản lý bởi cùng một cơ quan thuế đối với cùng một đơn vị chịu thuế và doanh nghiệp dự định thanh toán thuế thu nhập hiện hành phải trả và tài sản thuế thu nhập hiện hành trên cơ sở thuần.</t>
  </si>
  <si>
    <t>Việc xác định số thuế thu nhập doanh nghiệp hiện hành khi hợp nhất căn cứ vào các quy định hiện hành về thuế và được công gộp sau khi xác định thuế thu nhập doanh nghiệp tại công ty mẹ và các công ty con. Việc xác định số thuế thu nhập doanh nghiệp sau cùng tùy thuộc vào kết quả kiểm tra của cơ quan thuế đối với từng công ty được hợp nhất.</t>
  </si>
  <si>
    <t>Chính sách thuế theo những điều kiện quy định cho công ty năm hiện hành như sau:</t>
  </si>
  <si>
    <t>Chính sách thuế công ty mẹ và công ty con tại Việt Nam được điều chỉnh theo Luật thuế Thu nhập doanh nghiệp Việt Nam. Chính sách thuế công ty mẹ và công ty con tại Cambodia được điều chỉnh theo Luật thuế Thu nhập doanh nghiệp Cambodia.</t>
  </si>
  <si>
    <t>17.</t>
  </si>
  <si>
    <t>Các nghiệp vụ dự phòng rủi ro hối đoái</t>
  </si>
  <si>
    <t>Trong giai đoạn đầu tư xây dựng để hình thành tài sản cố định của doanh nghiệp mới thành lập, chênh lệch tỷ giá phát sinh khi thanh toán các khoản mục tiền tệ có gốc ngoại tệ để thực hiện đầu tư xây dựng và chênh lệch tỷ giá đánh giá lại các khoản mục tiền tệ cuối năm tài chính được phản ánh lũy kế, riêng biệt trên Bảng cân đối kế toán. Khi tài sản hoàn thành đầu tư xây dựng đưa vào sử dụng thì chênh lệch tỷ giá phát sinh trong giai đoạn này được phân bổ dần vào thu nhập tài chính (chênh lệch tỷ giá tăng) hoặc chi phí tài chính (chênh lệch tỷ giá giảm) không quá 5 năm kể từ khi công trình đưa vào hoạt động.</t>
  </si>
  <si>
    <t>Đánh giá lại số dư các khoản mục tiền tệ có gốc ngoại tệ vào cuối năm tài chính:</t>
  </si>
  <si>
    <t>CÁCH 1</t>
  </si>
  <si>
    <t>Đối với Công ty áp dụng theo TT201 thì trình bày theo cách 1 và hide cách thứ 2 đi, chú ý khi trình bày thì bỏ dòng 177 và 178 đi.</t>
  </si>
  <si>
    <t xml:space="preserve">Đối với các Công ty áp dụng Thông tư 201/2009/TT-BTC để xử lý các khoản chênh lệch tỷ giá </t>
  </si>
  <si>
    <t>Trong năm, Ban Giám đốc Công ty quyết định áp dụng việc ghi nhận chênh lệch tỷ giá theo hướng dẫn tại Thông tư số 201/2009/TT-BTC do Bộ Tài chính ban hành ngày 15 tháng 10 năm 2009 ("Thông tư 201"), và tin tưởng việc áp dụng đó cùng với việc đồng thời công bố đầy đủ thông tin về sự khác biệt trọng yếu trong trường hợp áp dụng theo hướng dẫn của chuẩn mực kế toán số 10 "Ảnh hưởng của việc thay đổi tỷ giá hối đoái" ("VAS10") sẽ cung cấp đầy đủ hơn các thông tin cho người sử dụng báo cáo tài chính.</t>
  </si>
  <si>
    <t>Hướng dẫn về chênh lệch tỷ giá do đánh giá lại số dư các khoản mục tiền tệ có gốc ngoại tệ cuối kỳ theo VAS 10 khác biệt so với quy định trong Thông tư 201 như sau:</t>
  </si>
  <si>
    <t>Nghiệp vụ</t>
  </si>
  <si>
    <t>Xử lý kế toán theo Thông tư 201</t>
  </si>
  <si>
    <t>Xử lý kế toán theo VAS 10</t>
  </si>
  <si>
    <t xml:space="preserve">Đánh giá lại số dư cuối năm của các khoản mục tiền và công nợ ngắn hạn có gốc ngoại tệ  </t>
  </si>
  <si>
    <t>Tất cả chênh lệch tỷ giá do đánh giá lại số dư có gốc ngoại tệ cuối năm được phản ánh ở tài khoản "Chênh lệch tỷ giá" trong khoản mục Vốn chủ sở hữu, và sẽ được ghi giảm trong kỳ tiếp theo.</t>
  </si>
  <si>
    <t>Tất cả chênh lệch tỷ giá do đánh giá lại số dư có gốc ngoại tệ cuối năm được hạch toán vào kết quả hoạt động kinh doanh trong kỳ.</t>
  </si>
  <si>
    <t xml:space="preserve">Đánh giá lại số dư cuối năm của các khoản mục công nợ dài hạn có gốc ngoại tệ  </t>
  </si>
  <si>
    <t>Trường hợp ghi nhận lỗ chênh lệch tỷ giá dẫn đến kết quả hoạt động kinh doanh trước thuế của công ty bị lỗ, một phần lỗ chênh lệch tỷ giá có thể được phân bổ vào các năm sau để đảm bảo Công ty không bị lỗ. Trong mọi trường hợp, tổng số lỗ chênh lệch tỷ giá ghi nhận vào chi phí trong năm ít nhất phải bằng số lỗ chênh lệch tỷ giá phát sinh từ việc đánh giá lại số dư công nợ dài hạn đến hạn trả. Phần lỗ chênh lệch tỷ giá còn lại có thể được phản ánh trên bảng cân đối kế toán và phân bổ vào báo cáo kết quả kinh doanh trong vòng 5 năm tiếp theo.</t>
  </si>
  <si>
    <t>Ảnh hưởng đến việc lập và trình bày các báo cáo tài chính của Công ty nếu Công ty áp dụng VAS 10 cho năm tài chính kết thúc ngày 31 tháng 12 năm 2010 được trình bày ở phần thuyết minh số…</t>
  </si>
  <si>
    <t>Trình bày số liệu ảnh hưởng tại phần thuyết minh VIII. Những thông tin khác, mục số 4</t>
  </si>
  <si>
    <t>CÁCH 2</t>
  </si>
  <si>
    <t>Đối với Công ty áp dụng theo VAS 10 thì trình bày theo cách 2 và hide cách thứ 1 đi, chú ý khi trình bày thì bỏ dòng 187, 188 đi.</t>
  </si>
  <si>
    <t xml:space="preserve">Đối với các Công ty áp dụng VAS 10 để xử lý các khoản chênh lệch tỷ giá </t>
  </si>
  <si>
    <t>Công ty áp dụng hướng dẫn theo VAS 10 "Ảnh hưởng của việc thay đổi tỷ giá hối đoái" ("VAS10") liên quan đến các nghiệp vụ phát sinh bằng ngoại tệ, và đã áp dụng nhất quán trong các năm tài chính trước.</t>
  </si>
  <si>
    <t>Hướng dẫn về chênh lệch tỷ giá do đánh giá lại số dư các khoản mục tiền tệ có gốc ngoại tệ cuối kỳ theo VAS 10 khác biệt so với quy định trong thông tư 201/2009/TT-BTC do Bộ Tài chính ban hành ngày 15 tháng 10 năm 2009 hướng dẫn xử lý chênh lệch tỷ giá hối đoái ("Thông tư 201") như sau:</t>
  </si>
  <si>
    <t>Ảnh hưởng đến việc lập và trình bày các báo cáo tài chính của Công ty nếu Công ty áp dụng Thông tư 201 cho năm tài chính kết thúc ngày 31 tháng 12 năm 2010 được trình bày ở phần thuyết minh số…</t>
  </si>
  <si>
    <t>18.</t>
  </si>
  <si>
    <t>Các nguyên tắc và phương pháp kế toán khác</t>
  </si>
  <si>
    <t>Nếu có phát sinh những khoản khác thì trình bày đặc thù của khách hàng.</t>
  </si>
  <si>
    <t>1. Nguyên tắc ghi nhận thông tin về các bên liên quan:</t>
  </si>
  <si>
    <r>
      <t xml:space="preserve">Các bên được coi là liên quan </t>
    </r>
    <r>
      <rPr>
        <sz val="11"/>
        <rFont val="Times New Roman"/>
        <family val="1"/>
      </rPr>
      <t>nếu một bên có khả năng kiểm soát hoặc có ảnh hưởng đáng kể đối với bên kia trong việc ra quyết định các chính sách tài chính hoạt động.</t>
    </r>
  </si>
  <si>
    <r>
      <t xml:space="preserve">Các bên liên quan cần được trình bày gồm: </t>
    </r>
    <r>
      <rPr>
        <sz val="11"/>
        <rFont val="Times New Roman"/>
        <family val="1"/>
      </rPr>
      <t>Công ty mẹ; công ty con; các bên liên doanh; cơ sở kinh doanh đồng kiểm soát; các công ty liên kết; các cá nhân có quyền trực tiếp hoặc gián tiếp biểu quyết ở công ty dẫn đến tính ảnh hưởng đáng kể tới công ty, kể cả các thành viên mật thiết trong gia đình của các cá nhân này; các nhân viên chủ chốt có quyền và trách nhiệm lập kế hoạch, quản lý và hoạt động của công ty; các doanh nghiệp của các cá nhân có ảnh hưởng đáng kể đang nắm quyền quản lý, kiểm soát và chi phối công ty.</t>
    </r>
  </si>
  <si>
    <r>
      <t xml:space="preserve">Các giao dịch chủ yếu giữa các bên liên quan được trình bày trong thuyết minh báo cáo tài chính:  </t>
    </r>
    <r>
      <rPr>
        <sz val="11"/>
        <rFont val="Times New Roman"/>
        <family val="1"/>
      </rPr>
      <t>Mua hoặc bán hàng hóa, tài sản;  Cung cấp hay nhận dịch vụ;  Giao dịch đại lý; Giao dịch thuê tài sản; Chuyển giao về nghiên cứu và phát triển; Thỏa thuận về giấy phép; Các khoản góp vốn, vay và tài trợ; Bảo lãnh và thế chấp; Các hợp đồng quản lý...</t>
    </r>
  </si>
  <si>
    <t>2. Nguyên tắc trình bày tài sản, doanh thu, kết quả kinh doanh theo bộ phận.</t>
  </si>
  <si>
    <r>
      <t xml:space="preserve">Các bộ phận cần lập báp cáo: </t>
    </r>
    <r>
      <rPr>
        <sz val="11"/>
        <rFont val="Times New Roman"/>
        <family val="1"/>
      </rPr>
      <t xml:space="preserve">là một bộ phận theo lĩnh vực kinh doanh hoặc một bộ phận theo khu vực địa lý được xác định dựa trên định nghĩa sau: </t>
    </r>
  </si>
  <si>
    <r>
      <t xml:space="preserve">Bộ phận theo khu vực địa lý: </t>
    </r>
    <r>
      <rPr>
        <sz val="11"/>
        <rFont val="Times New Roman"/>
        <family val="1"/>
      </rPr>
      <t>Là một bộ phận có thể phân biệt được của một doanh nghiệp tham gia vào quá trình sản xuất hoặc cung cấp sản phẩm, dịch vụ trong phạm vi một môi trường kinh tế cụ thể mà bộ phận này có chịu rủi ro và lợi ích kinh tế khác với các bộ phận kinh doanh trong các môi trường kinh tế khác. Một khu vực địa lý không bao gồm các hoạt động trong môi trường kinh tế có rủi ro và lợi ích kinh tế khác biệt đáng kể. Một khu vực địa lý có thể là một quốc gia, hai hay nhiều quốc gia hoặc một, hai hay nhiều tỉnh, thành phố trong cả nước.</t>
    </r>
  </si>
  <si>
    <t>19.</t>
  </si>
  <si>
    <t>Công cụ tài chính:</t>
  </si>
  <si>
    <t>Tài sản tài chính</t>
  </si>
  <si>
    <t>Theo thông tư 210, tài sản tài chính được phân loại một cách phù hợp, cho mục đích thuyết minh trong các báo cáo tài chính thành tài sản tài chính được ghi nhận theo giá trị hợp lý thông qua Báo cáo kết quả hoạt động kinh doanh, các khoản cho vay và phải thu, các khoản đầu tư giữ đến ngày đáo hạn và tài sản tài chính sẵn sàng để bán. Công ty quyết định phân loại các tài sản tài chính này tại thời điểm ghi nhận lần đầu.</t>
  </si>
  <si>
    <t>Tại thời điểm ghi nhận lần đầu, tài sản tài chính được xác định theo nguyên giá cộng với chi phí giao dịch trực tiếp có liên quan.</t>
  </si>
  <si>
    <t>Các tài sản tài chính của công ty bao gồm tiền và các khoản tiền gửi ngắn hạn, các khoản phải thu khách hàng và phải thu khác và các khoản cho vay.</t>
  </si>
  <si>
    <t>Nợ phải trả tài chính</t>
  </si>
  <si>
    <t>Nợ phải trả tài chính theo phạm vi của Thông tư 210, cho mục đích thuyết minh trong các báo cáo tài chính, được phân loại một cách phù hợp thành các khoản nợ phải trả tài chính được ghi nhận thông qua Báo cáo kết quả hoạt động kinh doanh, các khoản nợ phải trả tài chính được xác định theo giá trị phân bổ. Công ty xác định việc phân loại các khoản nợ phải trả tài chính thời điểm ghi nhận lần đầu.</t>
  </si>
  <si>
    <t>Tất cả nợ phải trả tài chính được ghi nhận ban đầu theo nguyên giá cộng với các chi phí giao dịch trực tiếp có liên quan.</t>
  </si>
  <si>
    <t>Nợ phải trả tài chính của Công ty bao gồm các khoản phải trả người bán, các khoản phải trả khác, nợ và vay.</t>
  </si>
  <si>
    <t>Bù trừ các công cụ tài chính</t>
  </si>
  <si>
    <t>Các tài sản tài chính và nợ phải trả tài chính được bù trừ và giá trị thuần sẽ được trình bày trên các báo cáo tình hình tài chính nếu, và chỉ nếu, đơn vị có quyền hợp pháp thi hành việc bù trừ các giá trị đã được ghi nhận này và có ý định bù trừ trên cơ sở thuần, hoặc thu được các tài sản và thanh toán nợ phải trả đồng thời.</t>
  </si>
  <si>
    <t>V. THÔNG TIN BỔ SUNG CHO CÁC KHOẢN MỤC TRÌNH BÀY TRONG BẢNG CÂN ĐỐI KẾ TOÁN.</t>
  </si>
  <si>
    <t>Tiền và các khoản tương tương tiền</t>
  </si>
  <si>
    <t>cambodia</t>
  </si>
  <si>
    <t xml:space="preserve">Tiền mặt </t>
  </si>
  <si>
    <t xml:space="preserve">Tiền đang chuyển </t>
  </si>
  <si>
    <t>Các khoản tương đương tiền</t>
  </si>
  <si>
    <t>Các khoản đầu tư ngắn hạn</t>
  </si>
  <si>
    <t>Trình bày theo TT244/2009/TT_BTC</t>
  </si>
  <si>
    <t xml:space="preserve"> Số lượng </t>
  </si>
  <si>
    <t xml:space="preserve"> Giá trị </t>
  </si>
  <si>
    <t xml:space="preserve">Chứng khoán đầu tư </t>
  </si>
  <si>
    <t>chi tiết cho từng loại chứng khoán</t>
  </si>
  <si>
    <t>Công ty A - Mã CK</t>
  </si>
  <si>
    <t xml:space="preserve">Đầu tư ngắn hạn khác </t>
  </si>
  <si>
    <t xml:space="preserve">Dự phòng giảm giá đầu tư ngắn hạn </t>
  </si>
  <si>
    <t>ghi âm</t>
  </si>
  <si>
    <t>Lý do thay đổi đối với từng khoản đầu tư:</t>
  </si>
  <si>
    <t>Các khoản phải thu ngắn hạn khác</t>
  </si>
  <si>
    <t>Phải thu bảo hiểm xã hội</t>
  </si>
  <si>
    <t>Phải thu về cổ tức và lợi nhuận được chia</t>
  </si>
  <si>
    <t>Phải thu người lao động</t>
  </si>
  <si>
    <t>Chi phí lắp các máy chưa xuất được hóa đơn</t>
  </si>
  <si>
    <t>Ứng trước chi phí hoạt động bán hàng</t>
  </si>
  <si>
    <t xml:space="preserve">Thuế nhập khẩu tạm nộp </t>
  </si>
  <si>
    <t>Thuế GTGT chờ hoàn thuế</t>
  </si>
  <si>
    <t>Phải thu khác chi nhánh và cty con tại Cambodia</t>
  </si>
  <si>
    <t>Hàng mua đang đi đường</t>
  </si>
  <si>
    <t>Công cụ, dụng cụ</t>
  </si>
  <si>
    <t>Chi phí SX, KD dở dang</t>
  </si>
  <si>
    <t xml:space="preserve">Thành phẩm </t>
  </si>
  <si>
    <t>Hàng hoá</t>
  </si>
  <si>
    <t xml:space="preserve">Hàng hoá kho bảo thuế </t>
  </si>
  <si>
    <t>Hàng hoá bất động sản</t>
  </si>
  <si>
    <t xml:space="preserve">(-) Dự phòng giảm giá hàng tồn kho </t>
  </si>
  <si>
    <t>* Giá trị ghi sổ của hàng tồn kho dùng để thế chấp, cầm cố</t>
  </si>
  <si>
    <t>đảm bảo các khoản nợ phải trả</t>
  </si>
  <si>
    <t>* Giá trị hoàn nhập dự phòng giảm giá hàng tồn kho trong năm</t>
  </si>
  <si>
    <t>* Các trường hợp hoặc sự kiện dẫn đến phải trích thêm hoặc hoàn nhập dự phòng giảm giá hàng tồn kho: hàng tồn kho lâu năm không sử dụng, hư hỏng.</t>
  </si>
  <si>
    <t>Thuế và các khoản phải thu nhà nước</t>
  </si>
  <si>
    <t>Thuế TNDN nộp thừa</t>
  </si>
  <si>
    <t>Các khoản thuế khác phải thu Nhà nước</t>
  </si>
  <si>
    <t>lctt</t>
  </si>
  <si>
    <t>LCTT</t>
  </si>
  <si>
    <t>Kí quỹ khác</t>
  </si>
  <si>
    <t>Kí quỹ mở LC, bảo lãnh bảo hành</t>
  </si>
  <si>
    <t>Tài sản thiếu chờ xử lý</t>
  </si>
  <si>
    <t>Vốn kinh doanh đơn vị trực thuộc</t>
  </si>
  <si>
    <t>Cấp vốn cho Chi nhánh tại Cambodia</t>
  </si>
  <si>
    <t>Phải thu dài hạn khác</t>
  </si>
  <si>
    <t>Ký quỹ, ký cược dài hạn</t>
  </si>
  <si>
    <t>Các khoản tiền nhận ủy thác</t>
  </si>
  <si>
    <t>Cho vay không lãi</t>
  </si>
  <si>
    <t>Tài sản cố định hữu hình</t>
  </si>
  <si>
    <t>Nhà cửa, vật kiến trúc</t>
  </si>
  <si>
    <t xml:space="preserve"> Tổng cộng </t>
  </si>
  <si>
    <t>----&gt; nếu bảng này bị dài quá có thể trình bảy bảng sang một sheet riêng- định dạng giấy ngang</t>
  </si>
  <si>
    <t xml:space="preserve">Nguyên giá </t>
  </si>
  <si>
    <t>Số dư đầu năm</t>
  </si>
  <si>
    <t>Trình bày ở tài sản cố định hữu hình</t>
  </si>
  <si>
    <t>ĐT XDCB h.thành</t>
  </si>
  <si>
    <t>Tăng khác</t>
  </si>
  <si>
    <t>Chuyển sang BĐS</t>
  </si>
  <si>
    <t>Giảm khác</t>
  </si>
  <si>
    <t xml:space="preserve">Giá trị hao mòn lũy kế </t>
  </si>
  <si>
    <t>* Giá trị còn lại của TSCĐHH đã dùng để thế chấp, cầm cố đảm bảo các khoản vay:  VNĐ.</t>
  </si>
  <si>
    <t>* Nguyên giá tài sản cố định cuối năm đã khấu hao hết nhưng vẫn còn sử dụng: …………………. VNĐ.</t>
  </si>
  <si>
    <t>* Nguyên giá tài sản cố định cuối năm chờ thanh lý: ……………………. VNĐ.</t>
  </si>
  <si>
    <t>* Các cam kết về việc mua, bán tài sản cố định hữu hình có giá trị lớn trong tương lai: ………………..</t>
  </si>
  <si>
    <t>* Các thay đổi khác về Tài sản cố định hữu hình: ………………….</t>
  </si>
  <si>
    <t>Tài sản cố định thuê tài chính</t>
  </si>
  <si>
    <t>Thuê TC trong năm</t>
  </si>
  <si>
    <t>Thanh lý HĐ thuê TC</t>
  </si>
  <si>
    <t>Trả lại TSCĐ Thuê TC</t>
  </si>
  <si>
    <t>Mua lại TSCĐ Thuê TC</t>
  </si>
  <si>
    <t xml:space="preserve">Giá trị còn lại </t>
  </si>
  <si>
    <t xml:space="preserve">Số dư đầu năm </t>
  </si>
  <si>
    <t xml:space="preserve"> Số dư cuối năm </t>
  </si>
  <si>
    <t>* Tiền thuê phát sinh thêm được ghi nhận là chi phí trong năm: 0 VNĐ.</t>
  </si>
  <si>
    <t xml:space="preserve">* Căn cứ để xác định tiền thuê phát sinh thêm: </t>
  </si>
  <si>
    <t>* Điều khoản gia hạn thuê hoặc quyền được mua tài sản:</t>
  </si>
  <si>
    <t>Quyền sử 
dụng đất</t>
  </si>
  <si>
    <t>Phần mềm 
máy vi tính</t>
  </si>
  <si>
    <t>Tạo ra từ nội bộ DN</t>
  </si>
  <si>
    <t>Tăng do hợp nhất KD</t>
  </si>
  <si>
    <t xml:space="preserve">Số dư cuối năm  </t>
  </si>
  <si>
    <t>Tài sản cố định vô hình (tiếp theo)</t>
  </si>
  <si>
    <t xml:space="preserve">                          -   </t>
  </si>
  <si>
    <t xml:space="preserve">                        -   </t>
  </si>
  <si>
    <t xml:space="preserve">* Thuyết minh số liệu và các giải trình khác: </t>
  </si>
  <si>
    <t>Quyền sử dụng đất tại KẤp Tuol Vihea, Xã Shiro Pi Sok, Huyện Tboung Khmum, Tỉnh Kompong Cham, Cambodia được dùng để thế chấp cho khoản vay trong năm tại Cambodia giá trị 93,796 USD.</t>
  </si>
  <si>
    <t>Tài sản cố định vô hình đầu năm là quyền sử dụng đất có thời hạn tại khu công nghiệp Sóng Thần 1, Dĩ An, Bình Dương được dùng để thế chấp cho các khoản vay trong năm tại Việt Nam.</t>
  </si>
  <si>
    <t>Chi phí xây dựng cơ bản dở dang cho các dự án</t>
  </si>
  <si>
    <t>Chi phí khảo sát địa chất Nhà máy tại Đà Nẵng</t>
  </si>
  <si>
    <t>Chi phí khảo sát địa chất Nhà máy Tonle Bet</t>
  </si>
  <si>
    <t>(1)</t>
  </si>
  <si>
    <t>Chi phí xây dựng dở dang nhà máy điện sinh khối Tonle Bet</t>
  </si>
  <si>
    <t>(2)</t>
  </si>
  <si>
    <t>Chi phí khảo sát, xây dựng dở dang nhà máy điện Tonle Sap</t>
  </si>
  <si>
    <t>chênh lệch tỷ giá chuyển đổi</t>
  </si>
  <si>
    <t>Tăng, giảm bất động sản đầu tư</t>
  </si>
  <si>
    <t xml:space="preserve"> Số đầu năm </t>
  </si>
  <si>
    <t xml:space="preserve"> Tăng trong năm </t>
  </si>
  <si>
    <t xml:space="preserve"> Giảm trong năm </t>
  </si>
  <si>
    <t xml:space="preserve"> Số cuối năm </t>
  </si>
  <si>
    <t>Nhà cửa</t>
  </si>
  <si>
    <t>Nhà và QSDĐ</t>
  </si>
  <si>
    <t>Cơ sở hạ tầng</t>
  </si>
  <si>
    <t>Thuyết minh số liệu và các giải trình khác:</t>
  </si>
  <si>
    <t>xem lai CM 05 " BDS Dau tu"</t>
  </si>
  <si>
    <t>* Nguyên giá bất động sản đầu tư tăng thêm do:</t>
  </si>
  <si>
    <t xml:space="preserve">                                -   </t>
  </si>
  <si>
    <t>Trình bày theo Đoạn 31.h - VAS 05</t>
  </si>
  <si>
    <t>Tăng do mua bất động sản</t>
  </si>
  <si>
    <t>Tăng do vốn hóa những chi phí sau ghi nhận ban đầu</t>
  </si>
  <si>
    <t>Tăng do sáp nhập doanh nghiệp</t>
  </si>
  <si>
    <t>* Nguyên giá bất động sản đầu tư giảm</t>
  </si>
  <si>
    <t>Chuyển sang bất động sản chủ sở hữu sử dụng hoặc hàng tồn kho và ngược lại</t>
  </si>
  <si>
    <t>* Giá trị hợp lý của bất động sản đầu tư</t>
  </si>
  <si>
    <t>Giá trị hợp lý của bất động sản đầu tư tại 31/12/2010:</t>
  </si>
  <si>
    <t>nếu xác định được</t>
  </si>
  <si>
    <t>Lý do Công ty không thể đưa ra giá trị hợp lý của Bất Động sản đầu tư tại ngày 31/12/2010:</t>
  </si>
  <si>
    <t>Nếu không xác định được</t>
  </si>
  <si>
    <t>Danh mục bất động sản đầu tư:</t>
  </si>
  <si>
    <t>Liệt kê từng loại giá trị</t>
  </si>
  <si>
    <t>(1) Dự án điện sinh khối nhà máy Tonle Bet chạy bằng trấu, cơ bản hoàn thành xong một số tổ máy đi vào hoạt động. Hiện nay, công ty đang lắp đặt tổ máy thứ 2.</t>
  </si>
  <si>
    <t>(2) Công ty đang tiến hành các thủ tục ban đầu để đầu tư thêm nhà máy điện Tonle Sap - Cambodia.</t>
  </si>
  <si>
    <t>Đầu tư vào công ty con và chi nhánh nước ngoài.</t>
  </si>
  <si>
    <t>Giá trị đầu tư</t>
  </si>
  <si>
    <t>Đầu tư vào Cty TNHH MTV Chế Tạo Máy An Tâm (*)</t>
  </si>
  <si>
    <t>Đắk lắk - Việt Nam</t>
  </si>
  <si>
    <t>Chi nhánh tại Cambodia</t>
  </si>
  <si>
    <t>Phnompenh - Cambodia</t>
  </si>
  <si>
    <t>684.678,52 USD</t>
  </si>
  <si>
    <t>Công ty TNHH MTV Nhà Máy Điện sinh khối Tonle Bet - Cambodia</t>
  </si>
  <si>
    <t>3.192.347,5 USD</t>
  </si>
  <si>
    <t xml:space="preserve">Đầu tư dài hạn khác </t>
  </si>
  <si>
    <t xml:space="preserve">Đầu tư cổ phiếu </t>
  </si>
  <si>
    <t>+ Cty A - mã CK</t>
  </si>
  <si>
    <t>Đầu tư trái phiếu</t>
  </si>
  <si>
    <t>+ Cty A</t>
  </si>
  <si>
    <t>Đầu tư tín phiếu</t>
  </si>
  <si>
    <t>Cho vay dài hạn</t>
  </si>
  <si>
    <t xml:space="preserve">Dự phòng giảm giá đầu tư tài chính dài hạn </t>
  </si>
  <si>
    <t>Ghi âm</t>
  </si>
  <si>
    <t>Chi phí trả trước dài hạn và tài sản dài hạn khác</t>
  </si>
  <si>
    <t>Chi phí trả trước dài hạn</t>
  </si>
  <si>
    <t>Chi phí trả trước về thuê tài sản hoạt động</t>
  </si>
  <si>
    <t>Chi phí thành lập - công cụ phân bổ tại Tonle Bet Cambodia</t>
  </si>
  <si>
    <t>Chi phí nghiên cứu có giá trị lớn</t>
  </si>
  <si>
    <t xml:space="preserve">Chi phí giai đoạn triển khai không đủ </t>
  </si>
  <si>
    <t>tiêu chuẩn ghi nhận TSCĐVH</t>
  </si>
  <si>
    <t>Ký quỹ ký cược dài hạn</t>
  </si>
  <si>
    <t>+ Công ty ….</t>
  </si>
  <si>
    <t xml:space="preserve">11. </t>
  </si>
  <si>
    <t xml:space="preserve">Tài sản thuế thu nhập hoãn lại </t>
  </si>
  <si>
    <t xml:space="preserve">- Tài sản thuế TNDN hoãn lại liên quan đến </t>
  </si>
  <si>
    <t>khoản chênh lệch tạm thời được khấu trừ</t>
  </si>
  <si>
    <t>Vay ngân hàng tại Vietnam</t>
  </si>
  <si>
    <t xml:space="preserve">Chi nhánh ngân hàng Công Thương - KCN Bình Dương </t>
  </si>
  <si>
    <t>Vay bằng VNĐ</t>
  </si>
  <si>
    <t>Ngân hàng TMCP Xuất nhập khẩu Việt Nam- CN Thủ Đức</t>
  </si>
  <si>
    <t>Vay ngân hàng tại Cambodia</t>
  </si>
  <si>
    <t>Vay ngân hàng đầu tư &amp; phát triển Cambodia bằng USD</t>
  </si>
  <si>
    <t>Nợ dài hạn đến hạn trả</t>
  </si>
  <si>
    <t>Thuyết minh các khoản nợ vay ngân hàng</t>
  </si>
  <si>
    <t>Số hợp đồng</t>
  </si>
  <si>
    <t>Ngày vay</t>
  </si>
  <si>
    <t>Thời hạn</t>
  </si>
  <si>
    <t>Lãi suất</t>
  </si>
  <si>
    <t>Hình thức 
đảm bảo</t>
  </si>
  <si>
    <t>12.00050/HĐTD.HM</t>
  </si>
  <si>
    <t>06/06/2012</t>
  </si>
  <si>
    <t>12 tháng</t>
  </si>
  <si>
    <t>Thả nổi</t>
  </si>
  <si>
    <t>Thế chấp động sản và bất động sản.</t>
  </si>
  <si>
    <t>16/2010/MC-BIDC</t>
  </si>
  <si>
    <t>19/04/2011</t>
  </si>
  <si>
    <t>9%/năm</t>
  </si>
  <si>
    <t>Thuế và các khoản phải nộp Nhà nước</t>
  </si>
  <si>
    <t>Thuế giá trị gia tăng</t>
  </si>
  <si>
    <t>Thuế tiêu thụ đặc biệt</t>
  </si>
  <si>
    <t>Thuế thu nhập doanh nghiệp</t>
  </si>
  <si>
    <t>Thuế tài nguyên</t>
  </si>
  <si>
    <t>Thuế nhà đất và tiền thuê đất</t>
  </si>
  <si>
    <t>Các loại thuế khác</t>
  </si>
  <si>
    <t>Các khoản phí, lệ phí và các khoản phải nộp khác</t>
  </si>
  <si>
    <t>Trích trước tiền lương trong thời gian nghỉ phép</t>
  </si>
  <si>
    <t>Chi phí sữa chữa lớn TSCĐ</t>
  </si>
  <si>
    <t>Chi phí lãi vay</t>
  </si>
  <si>
    <t>Chi phí trong thời gian ngừng kinh doanh</t>
  </si>
  <si>
    <t>Tài sản thừa chờ giải quyết</t>
  </si>
  <si>
    <t>Kinh phí công đoàn</t>
  </si>
  <si>
    <t xml:space="preserve">Bảo hiểm xã hội, y tế </t>
  </si>
  <si>
    <t>Bảo hiểm y tế</t>
  </si>
  <si>
    <t xml:space="preserve">Phải trả về cổ phần hoá </t>
  </si>
  <si>
    <t xml:space="preserve">Nhận ký quỹ, ký cược ngắn hạn </t>
  </si>
  <si>
    <t>Các khoản phải trả, phải nộp khác</t>
  </si>
  <si>
    <t>Lương theo doanh thu</t>
  </si>
  <si>
    <t xml:space="preserve">Phan Sơn </t>
  </si>
  <si>
    <t>Trích trước chi phí lắp đặt máy</t>
  </si>
  <si>
    <t>Phải trả khác tại văng phòng</t>
  </si>
  <si>
    <t xml:space="preserve">Phải trả khác </t>
  </si>
  <si>
    <t>Phải trả dài hạn nội bộ</t>
  </si>
  <si>
    <t>Vay dài hạn nội bộ</t>
  </si>
  <si>
    <t>Phải trả công ty mẹ</t>
  </si>
  <si>
    <t>Phải trả dài hạn nội bộ khác</t>
  </si>
  <si>
    <t>20.</t>
  </si>
  <si>
    <t>Vay và nợ dài hạn</t>
  </si>
  <si>
    <t>Vay dài hạn</t>
  </si>
  <si>
    <t>Vay ngân hàng</t>
  </si>
  <si>
    <t>+ Ngân hàng A</t>
  </si>
  <si>
    <t>+ Ngân hàng B</t>
  </si>
  <si>
    <t>Vay đối tượng khác</t>
  </si>
  <si>
    <t>Trái phiếu phát hành</t>
  </si>
  <si>
    <t>Thuê tài chính</t>
  </si>
  <si>
    <t>Nợ dài hạn khác</t>
  </si>
  <si>
    <t>Ngân hàng A gồm có các hợp đồng vay sau:</t>
  </si>
  <si>
    <t>Ngày đáo hạn</t>
  </si>
  <si>
    <t>Hình thức đảm bảo</t>
  </si>
  <si>
    <t>Thuyết minh các khoản nợ thuê tài chính</t>
  </si>
  <si>
    <t>Ngày thuê</t>
  </si>
  <si>
    <t>Ghi chú</t>
  </si>
  <si>
    <t>Vào ngày 31 tháng 12 năm 2010, các khoản tiền thuê phải trả trong tương lai theo hợp đồng thuê tài chính được trình bày như sau:</t>
  </si>
  <si>
    <t>Năm nay</t>
  </si>
  <si>
    <t xml:space="preserve"> Năm trước </t>
  </si>
  <si>
    <t xml:space="preserve">Trả lãi </t>
  </si>
  <si>
    <t>Trả gốc</t>
  </si>
  <si>
    <t xml:space="preserve"> Trả gốc </t>
  </si>
  <si>
    <t>Dưới 1 năm</t>
  </si>
  <si>
    <t>Dưới 5 năm</t>
  </si>
  <si>
    <t>Trên 5 năm</t>
  </si>
  <si>
    <t>21.</t>
  </si>
  <si>
    <t>Tài sản thuế thu nhập hoãn lại và thuế thu nhập hoãn lại phải trả</t>
  </si>
  <si>
    <t>Tài sản thuế tnu nhập hoãn lại</t>
  </si>
  <si>
    <t>- Tài sản Thuế thu nhập hoãn lại liên quan đến</t>
  </si>
  <si>
    <t>các khoản chênh lệch tạm thời được khấu trừ</t>
  </si>
  <si>
    <t>khoản lỗ tính thuế chưa sử dụng</t>
  </si>
  <si>
    <t>khoản ưu đãi tính thuế chưa sử dụng</t>
  </si>
  <si>
    <t>- Khoản hoàn nhập tài sản Thuế thu nhập hoãn</t>
  </si>
  <si>
    <t xml:space="preserve"> lại đã được ghi nhận từ các năm trước </t>
  </si>
  <si>
    <t>Thuế thu nhập doanh nghiệp hoãn lại phải trả</t>
  </si>
  <si>
    <t>- Thuế thu nhập doanh nghiệp hoãn lại phải trả phát</t>
  </si>
  <si>
    <t>sinh từ các khoản chênh lệch tạm thời chịu thuế.</t>
  </si>
  <si>
    <t>- Khoản hoàn nhập Thuế thu nhập hoãn lại phải trả</t>
  </si>
  <si>
    <t>đã được ghi nhận từ các năm trước.</t>
  </si>
  <si>
    <t>- Thuế thu nhập hoãn lại phải trả</t>
  </si>
  <si>
    <t>Dự phòng bảo hành sản phẩm máy phát điện</t>
  </si>
  <si>
    <t xml:space="preserve">a. Bảng đối chiếu biến động của Vốn chủ sở hữu </t>
  </si>
  <si>
    <t xml:space="preserve">Nếu phát sinh ÍT CỘT  thì thể hiện trang dọc này </t>
  </si>
  <si>
    <t>Vốn đầu tư của chủ sỡ hữu</t>
  </si>
  <si>
    <t xml:space="preserve"> Lợi nhuận sau thuế chưa phân phối </t>
  </si>
  <si>
    <t xml:space="preserve"> Cộng </t>
  </si>
  <si>
    <t>Số dư đầu năm trước</t>
  </si>
  <si>
    <t>Trình bày ở sheet Vốn</t>
  </si>
  <si>
    <t>Lợi nhuận</t>
  </si>
  <si>
    <t>Số dư cuối năm trước</t>
  </si>
  <si>
    <t>Số dư đầu năm nay</t>
  </si>
  <si>
    <t>Số dư cuối năm nay</t>
  </si>
  <si>
    <t>Vốn góp của Nhà nước</t>
  </si>
  <si>
    <t>Vốn góp của các cổ đông</t>
  </si>
  <si>
    <t>* Số lượng cổ phiếu quỹ</t>
  </si>
  <si>
    <t>* Giá trị trái phiếu đã chuyển thành cổ phiếu trong năm</t>
  </si>
  <si>
    <t xml:space="preserve">c. Các giao dịch về vốn với các chủ sỡ hữu </t>
  </si>
  <si>
    <t>và phân phối cổ tức, chia lợi nhuận</t>
  </si>
  <si>
    <t>Vốn góp giảm trong năm</t>
  </si>
  <si>
    <t>Cổ tức, lợi nhuận đã chia</t>
  </si>
  <si>
    <t>Chưa công bố</t>
  </si>
  <si>
    <t>Cổ tức của cổ phiếu ưu đãi lũy kế chưa ghi nhận</t>
  </si>
  <si>
    <t xml:space="preserve">                     -   </t>
  </si>
  <si>
    <t>đ. Cổ phiếu</t>
  </si>
  <si>
    <t>Số lượng cổ phiếu đăng ký phát hành</t>
  </si>
  <si>
    <t>Cổ phiếu ưu đãi</t>
  </si>
  <si>
    <t>Mệnh giá cổ phiếu đang lưu hành: đồng Việt Nam/cổ phiếu.</t>
  </si>
  <si>
    <t>e. Các quỹ của doanh nghiệp</t>
  </si>
  <si>
    <t xml:space="preserve">Quỹ đầu tư phát triển </t>
  </si>
  <si>
    <t>Quỹ hỗ trợ sắp xếp doanh nghiệp</t>
  </si>
  <si>
    <t>Quỹ khác thuộc nguồn vốn hữu sỡ hữu</t>
  </si>
  <si>
    <t>* Mục đích trích lập và sử dụng các quỹ của doanh nghiệp</t>
  </si>
  <si>
    <t>Quỹ đầu tư phát triển được trích lập từ lợi nhuận sau thuế của doanh nghiệp và được sử dụng vào việc đầu tư mở rộng quy mô sản xuất, kinh doanh hoặc đầu tư chiều sâu của doanh nghiệp.</t>
  </si>
  <si>
    <t>Quỹ dự phòng tài chính được trích lập từ lợi nhuận sau thuế của doanh nghiệp và được sử dụng vào xử lý khi doanh nghiệp gặp rủi ro về kinh doanh hoặc thua lỗ kéo dài.</t>
  </si>
  <si>
    <t>Quỹ hỗ trợ sắp xếp doanh nghiệp được hình thành từ Quỹ hỗ trợ sắp xếp doanh nghiệp tại Tổng công ty Đầu tư và Kinh doanh vốn nhà nước theo quy định của cơ quan có thẩm quyền được dùng để hỗ trợ người lao động dôi dư, hỗ trợ các doanh nghiệp 100% vốn nhà nước có giá trị tài sản thấp hơn nợ phải trả khi thực hiện giao, bán, giải thể, phá sản để thanh toán chi phí chuyển đổi và nợ bảo hiểm xã hội của người lao động. Hỗ trợ kinh phí đào tạo nghề cho người lao động dôi dư có nguyện vọng học nghề theo quy định. Điều chuyển về Tổng công ty Đầu tư và kinh doanh vốn nhà nước theo quyết định của Thủ tướng Chính phủ. Bổ sung tăng vốn điều lệ cho các Tập Đoàn, Tổng công ty nhà nước, Công ty mẹ và đầu tư cho các dự án quan trọng theo phê duyệt của Thủ tướng Chính phủ.</t>
  </si>
  <si>
    <t>TT108/2008/TT-BTC</t>
  </si>
  <si>
    <t xml:space="preserve">d. Thu nhập và chi phí, lãi hoặc lỗ được ghi nhận trực tiếp vào vốn chủ sở hữu </t>
  </si>
  <si>
    <t>23.</t>
  </si>
  <si>
    <t xml:space="preserve">Nguồn kinh phí </t>
  </si>
  <si>
    <t>Nguồn kinh phí còn lại đầu năm</t>
  </si>
  <si>
    <t>Nguồn kinh phí được cấp trong năm</t>
  </si>
  <si>
    <t>Chi sự nghiệp</t>
  </si>
  <si>
    <t>Nguồn kinh phí còn lại cuối năm</t>
  </si>
  <si>
    <t>24.</t>
  </si>
  <si>
    <t>Tài sản thuê ngoài</t>
  </si>
  <si>
    <t>Giá trị tài sản thuê ngoài</t>
  </si>
  <si>
    <t xml:space="preserve"> Trình bày thuê hoạt động </t>
  </si>
  <si>
    <t>Tài sản khác thuê ngoài</t>
  </si>
  <si>
    <t xml:space="preserve">Tổng số tiền thuê tối thiểu trong tương lai của hợp đồng </t>
  </si>
  <si>
    <t>thuê hoạt động tài sản không hủy ngang theo các thời hạn</t>
  </si>
  <si>
    <t>Từ 1 năm  trở xuống</t>
  </si>
  <si>
    <t>Từ 1 năm đếm 5 năm</t>
  </si>
  <si>
    <t>VI. THÔNG TIN BỔ SUNG CHO CÁC KHOẢN MỤC TRÌNH BÀY TRONG BÁO CÁO KẾT QUẢ HOẠT ĐỘNG KINH DOANH.</t>
  </si>
  <si>
    <t>01.</t>
  </si>
  <si>
    <t>Doanh thu bán hàng và cung cấp dịch vụ</t>
  </si>
  <si>
    <t>Doanh thu cung cấp dịch vụ</t>
  </si>
  <si>
    <t>Doanh thu hợp đồng xây dựng (*)</t>
  </si>
  <si>
    <t>Doanh thu kinh doanh bất động sản đầu tư</t>
  </si>
  <si>
    <t xml:space="preserve"> trình bày theo 31e. VAS 05 </t>
  </si>
  <si>
    <t>(*): Đối với doanh nghiệp có hoạt động xây lắp</t>
  </si>
  <si>
    <t xml:space="preserve">+ </t>
  </si>
  <si>
    <t>Doanh thu của hợp đồng được ghi nhận trong kỳ</t>
  </si>
  <si>
    <t>+</t>
  </si>
  <si>
    <t xml:space="preserve">Tổng doanh thu lũy kế của hợp đồng xây dựng </t>
  </si>
  <si>
    <t>được ghi nhận đến thời điểm lập báo cáo tài chính</t>
  </si>
  <si>
    <t>02.</t>
  </si>
  <si>
    <t>Các khoản giảm trừ doanh thu</t>
  </si>
  <si>
    <t>Chiết khấu thương mại</t>
  </si>
  <si>
    <t>Giảm giá hàng bán</t>
  </si>
  <si>
    <t>Thuế GTGT phải nộp (Phương pháp trực tiếp)</t>
  </si>
  <si>
    <t>Thuế xuất khẩu</t>
  </si>
  <si>
    <t>03.</t>
  </si>
  <si>
    <t>Doanh thu thuần về bán hàng và cung cấp dịch vụ</t>
  </si>
  <si>
    <t>Doanh thu thuần cung cấp dịch vụ</t>
  </si>
  <si>
    <t xml:space="preserve">Doanh thu thuần hợp đồng xây dựng </t>
  </si>
  <si>
    <t>Doanh thu thuần kinh doanh bất động sản đầu tư</t>
  </si>
  <si>
    <t>04.</t>
  </si>
  <si>
    <t xml:space="preserve">Giá vốn hàng bán </t>
  </si>
  <si>
    <t>Giá vốn của hàng hóa đã bán</t>
  </si>
  <si>
    <t>Giá vốn thành phẩm đã bán</t>
  </si>
  <si>
    <t>Giá vốn của dịch vụ đã cung cấp</t>
  </si>
  <si>
    <t>Giá trị còn lại, chi phí nhượng bán, thanh lý BĐS đầu tư</t>
  </si>
  <si>
    <t>Chi phí kinh doanh bất động sản</t>
  </si>
  <si>
    <t>Hao hụt mất mát hàng tồn kho</t>
  </si>
  <si>
    <t>Các khoản chi phí vượt mức bình thường</t>
  </si>
  <si>
    <t>05.</t>
  </si>
  <si>
    <t>Doanh thu hoạt động tài chính</t>
  </si>
  <si>
    <t>Lãi đầu tư trái phiếu, kỳ phiếu, tín phiếu</t>
  </si>
  <si>
    <t>Cổ tức, lợi nhuận được chia</t>
  </si>
  <si>
    <t xml:space="preserve">Lãi bán ngoại tệ </t>
  </si>
  <si>
    <t>Lãi chênh lệch tỷ giá đã thực hiện</t>
  </si>
  <si>
    <t xml:space="preserve">Lãi chênh lệch tỷ giá chưa thực hiện </t>
  </si>
  <si>
    <t>Lãi bán hàng trả chậm</t>
  </si>
  <si>
    <t>Doanh thu hoạt động tài chính khác</t>
  </si>
  <si>
    <t>06.</t>
  </si>
  <si>
    <t xml:space="preserve">Chi phí tài chính </t>
  </si>
  <si>
    <t>Lãi tiền vay</t>
  </si>
  <si>
    <t>Chiết khấu thanh toán, lãi bán hàng trả chậm</t>
  </si>
  <si>
    <t>Lỗ do thanh lý các khoản đầu tư ngắn hạn, dài hạn</t>
  </si>
  <si>
    <t xml:space="preserve">Lỗ bán ngoại tệ </t>
  </si>
  <si>
    <t xml:space="preserve">Lỗ chênh lệch tỷ giá đã thực hiện </t>
  </si>
  <si>
    <t xml:space="preserve">Lỗ chênh lệch tỷ giá chưa thực hiện </t>
  </si>
  <si>
    <t>Dự phòng giảm giá các khoản đầu tư ngắn hạn, dài hạn</t>
  </si>
  <si>
    <t>Chi phí tài chính khác</t>
  </si>
  <si>
    <t>07.</t>
  </si>
  <si>
    <t>Thu nhập khác</t>
  </si>
  <si>
    <t>Thu từ xóa nợ khách hàng</t>
  </si>
  <si>
    <t>Thu chênh lệch thanh toán</t>
  </si>
  <si>
    <t>Thu nhập nhượng bán thanh lý tài sản</t>
  </si>
  <si>
    <t>Thu bán phế liệu</t>
  </si>
  <si>
    <t>08.</t>
  </si>
  <si>
    <t>Chi phí khác</t>
  </si>
  <si>
    <t>Chi phí về bán phế liệu</t>
  </si>
  <si>
    <t>Chi tiền do vi phạm hợp đồng</t>
  </si>
  <si>
    <t>Chi phạm chậm nộp vi phạm hành chánh</t>
  </si>
  <si>
    <t>Chi thuế truy thu</t>
  </si>
  <si>
    <t>09.</t>
  </si>
  <si>
    <t>Chi phí thuế thu nhập doanh nghiệp hiện hành</t>
  </si>
  <si>
    <t xml:space="preserve">1. Tổng lợi nhuận kế toán trước thuế </t>
  </si>
  <si>
    <t>2. Các khoản điều chỉnh tăng, giảm lợi nhuận kế toán để xác định thu nhập chịu thuế thu nhập doanh nghiệp:</t>
  </si>
  <si>
    <t xml:space="preserve">  -  Các khoản điều chỉnh tăng </t>
  </si>
  <si>
    <t xml:space="preserve">  -  Các khoản điều chỉnh giảm</t>
  </si>
  <si>
    <t>3. Thu nhập chịu thuế năm hiện hành (1+2)</t>
  </si>
  <si>
    <t>4. Chi phí thuế thu nhập doanh nghiệp hiện hành</t>
  </si>
  <si>
    <t>+ Công ty mẹ tại Việt Nam</t>
  </si>
  <si>
    <t>+ Chi nhánh và công ty con tại Cambodia</t>
  </si>
  <si>
    <t>Chi phí thuế thu nhập doanh nghiệp hoãn lại</t>
  </si>
  <si>
    <t>- Chi phí Thuế TNDN hoãn lại phát sinh</t>
  </si>
  <si>
    <t>từ các khoản chênh lệch tạm thời phải chịu thuế.</t>
  </si>
  <si>
    <t>-Chi phí Thuế TNDN hoãn lại phát sinh từ việc</t>
  </si>
  <si>
    <t>hoàn nhập tài sản thuế thu nhập hoãn lại</t>
  </si>
  <si>
    <t>từ các khoản chênh lệch tạm thời được khấu trừ</t>
  </si>
  <si>
    <t>- Thu nhập Thuế TNDN hoãn lại phát sinh</t>
  </si>
  <si>
    <t>từ các khoản lỗ tính thuế và ưu đãi thuế chưa sử dụng</t>
  </si>
  <si>
    <t>từ việc hoàn nhập thuế thu nhập hoãn lại phải trả</t>
  </si>
  <si>
    <t>Cộng chi phí thuế thu nhập doanh nghiệp hoãn lại</t>
  </si>
  <si>
    <t>Chi phí sản xuất, kinh doanh theo yếu tố</t>
  </si>
  <si>
    <t>Tolebet</t>
  </si>
  <si>
    <t>CN</t>
  </si>
  <si>
    <t>VP</t>
  </si>
  <si>
    <t>Chi phí khấu hao tài sản cố định</t>
  </si>
  <si>
    <t xml:space="preserve">Chi phí khác bằng tiền </t>
  </si>
  <si>
    <t>Lợi nhuận kế toán sau thuế thu nhập doanh nghiệp</t>
  </si>
  <si>
    <t xml:space="preserve">  -  Các khoản điều chỉnh tăng</t>
  </si>
  <si>
    <t>Lợi nhuận hoặc lỗ phân bổ cho cổ đông 
sở hữu cổ phiếu phổ thông.</t>
  </si>
  <si>
    <t>Cổ phiếu cổ đông đang lưu hành bình quân trong kỳ</t>
  </si>
  <si>
    <t>VII. THÔNG TIN BỔ SUNG CHO CÁC KHOẢN MỤC TRÌNH BÀY TRONG BÁO CÁO LƯU CHUYỂN TIỀN TỆ</t>
  </si>
  <si>
    <t>37.</t>
  </si>
  <si>
    <t>Các khoản giao dịch không bằng tiền ảnh hưởng đến báo cáo lưu chuyển tiền tệ và các khoản tiền do doanh nghiệp nắm giữ nhưng không được sử dụng.</t>
  </si>
  <si>
    <t xml:space="preserve">a) Mua tài sản bằng cách nhận các khoản nợ liên quan trực tiếp hoặc thông qua cho thuê tài chính: không phát sinh </t>
  </si>
  <si>
    <t xml:space="preserve">b) Mua và thanh lý công ty con hoặc đơn vị kinh doanh khác trong kỳ báo cáo: không phát sinh </t>
  </si>
  <si>
    <t>c) Trình bày giá trị và lý do của các khoản tiền và tương đương tiền lớn do doanh nghiệp nắm giữ nhưng không được sử dụng do có sự hạn chế của pháp luật hoặc các ràng buộc khác mà doanh nghiệp phải thực hiện: không phát sinh</t>
  </si>
  <si>
    <t>VIII. NHỮNG THÔNG TIN KHÁC</t>
  </si>
  <si>
    <t>Những khoản nợ tiềm tàng, khoản cam kết và những thông tin tài chính khác</t>
  </si>
  <si>
    <t>Các sự kiện phát sinh sau ngày kết thúc niên độ</t>
  </si>
  <si>
    <t>Giao dịch với các bên liên quan</t>
  </si>
  <si>
    <t>Mối 
quan hệ</t>
  </si>
  <si>
    <t>Tính chất 
giao dịch</t>
  </si>
  <si>
    <t xml:space="preserve"> Phát sinh 
trong năm </t>
  </si>
  <si>
    <t xml:space="preserve"> Số dư 
cuối năm </t>
  </si>
  <si>
    <t xml:space="preserve">1. Cty TNHH Nhà Máy </t>
  </si>
  <si>
    <t>Mẹ - Con</t>
  </si>
  <si>
    <t xml:space="preserve">Góp vốn </t>
  </si>
  <si>
    <t>Tonlebet - cambodia</t>
  </si>
  <si>
    <t>2. Chi nhánh Cambodia</t>
  </si>
  <si>
    <t>Chi nhánh</t>
  </si>
  <si>
    <t>Phải thu</t>
  </si>
  <si>
    <t>3. Hội đồng quản trị</t>
  </si>
  <si>
    <t>Lương</t>
  </si>
  <si>
    <t>4. Hội đồng quản trị</t>
  </si>
  <si>
    <t>Cho Công ty vay</t>
  </si>
  <si>
    <t>5. Cty TNHH CTM An Tâm</t>
  </si>
  <si>
    <t>Như đã trình bày ở thuyết minh số …, trong năm tài chính kết thúc ngày 31 tháng 12 năm 2010, Công ty áp dụng hướng dẫn về các nghiệp vụ bằng ngoại tệ theo Thông tư 201, hướng dẫn này khác biệt so với các quy định trong VAS 10. Ảnh hưởng như sau:</t>
  </si>
  <si>
    <t>Như đã trình bày ở thuyết minh số …, trong năm tài chính kết thúc ngày 31 tháng 12 năm 2010, Công ty tiếp tục áp dụng hướng dẫn về các nghiệp vụ bằng ngoại tệ theo VAS 10, hướng dẫn này khác biệt so với các quy định trong Thông tư 201. Ảnh hưởng như sau:</t>
  </si>
  <si>
    <t>Nếu Công ty áp dụng VAS 10 thì ghi câu này, hide câu trước đi</t>
  </si>
  <si>
    <t>Thông tư 201</t>
  </si>
  <si>
    <t>VAS 10</t>
  </si>
  <si>
    <t>Chênh lệch</t>
  </si>
  <si>
    <t>Bảng cân đối kế toán</t>
  </si>
  <si>
    <t>Báo cáo kết quả kinh doanh</t>
  </si>
  <si>
    <t>Lãi chênh lệch tỷ giá</t>
  </si>
  <si>
    <t>Lỗ chênh lệch tỷ giá</t>
  </si>
  <si>
    <t>Lãi chênh lệch tỷ giá thuần ghi nhận vào báo cáo KQKD</t>
  </si>
  <si>
    <t>Trình bày tài sản, doanh thu, kết quả kinh doanh theo bộ phận:</t>
  </si>
  <si>
    <t>Các báo cáo bộ phận được chia theo hai khu vực địa lý dưới sự quản lý của công ty Cổ Phần Chế Tạo Máy Dzĩ An như sau:</t>
  </si>
  <si>
    <t>Công ty Cổ phần Chế Tạo Máy Dzĩ An</t>
  </si>
  <si>
    <t>Chi nhánh Công ty Cổ phần Chế Tạo Máy Dzĩ An</t>
  </si>
  <si>
    <t>Công ty TNHH MTV Nhà Máy Điện Sinh Khối Tonlebet</t>
  </si>
  <si>
    <t>Báo cáo bộ phận được chia theo lĩnh vực hoạt động: Công ty chỉ sản xuất và kinh doanh máy phát điện, không có hoạt động kinh doanh lĩnh vực khác.</t>
  </si>
  <si>
    <t xml:space="preserve"> Mẫu số B 09 - DN </t>
  </si>
  <si>
    <t xml:space="preserve"> Đơn vị tính: Đồng Việt Nam </t>
  </si>
  <si>
    <t>Nhà cửa, 
vật kiến trúc</t>
  </si>
  <si>
    <t>Máy móc 
thiết bị</t>
  </si>
  <si>
    <t>Phương tiện 
vận tải</t>
  </si>
  <si>
    <t>Dụng cụ 
quản lý</t>
  </si>
  <si>
    <t>Điều chỉnh phân loại</t>
  </si>
  <si>
    <t>Chênh lệch tỷ giá chuyển đổi số đầu kỳ lũy kế mang sang</t>
  </si>
  <si>
    <t xml:space="preserve">* Giá trị còn lại của TSCĐHH đã dùng để thế chấp, cầm cố đảm bảo các khoản vay:  </t>
  </si>
  <si>
    <t>VNĐ</t>
  </si>
  <si>
    <t>+ Công ty con tại Cambodia</t>
  </si>
  <si>
    <t>USD</t>
  </si>
  <si>
    <t>* Nguyên giá tài sản cố định cuối năm đã khấu hao hết nhưng vẫn còn sử dụng: 2.219.163.352 VNĐ.</t>
  </si>
  <si>
    <t xml:space="preserve"> Vốn góp  </t>
  </si>
  <si>
    <t xml:space="preserve"> Thặng dư vốn cổ phần </t>
  </si>
  <si>
    <t xml:space="preserve"> Vốn khác của chủ sỡ hữu </t>
  </si>
  <si>
    <t xml:space="preserve"> Cổ 
phiếu quỹ </t>
  </si>
  <si>
    <t xml:space="preserve"> Chênh lệch tỷ giá hối đoái </t>
  </si>
  <si>
    <t xml:space="preserve"> Quỹ đầu tư phát triển </t>
  </si>
  <si>
    <t xml:space="preserve"> Quỹ dự phòng tài chính </t>
  </si>
  <si>
    <t>Lợi nhuận sau thuế năm 2011</t>
  </si>
  <si>
    <t>Chia cổ tức năm 2010</t>
  </si>
  <si>
    <t>Phân phối quỹ năm 2010</t>
  </si>
  <si>
    <t>Phân phối quỹ năm 2011 chi nhánh</t>
  </si>
  <si>
    <t>Trích lập quỹ khen thưởng và phúc lợi năm 2010</t>
  </si>
  <si>
    <t>Trích lập quỹ khen thưởng và phúc lợi năm 2011 chi nhánh</t>
  </si>
  <si>
    <t>Điều chỉnh giảm khác chi nhánh</t>
  </si>
  <si>
    <t>Khoản thanh lý công ty trấu Mê Kong</t>
  </si>
  <si>
    <t>Lợi nhuận sau thuế trong kỳ</t>
  </si>
  <si>
    <t>Cổ phiếu thưởng cho cổ đông hiện hữu</t>
  </si>
  <si>
    <t xml:space="preserve">Phân phối quỹ </t>
  </si>
  <si>
    <t>Trích lập quỹ khen thưởng và phúc lợi</t>
  </si>
  <si>
    <t>Lai chenh lech ty gia nay la do khi hop nhat chenh lech ty gia USD</t>
  </si>
  <si>
    <t>Dzima</t>
  </si>
  <si>
    <t>An Tâm</t>
  </si>
  <si>
    <t>TBBP</t>
  </si>
  <si>
    <t>Chi nhánh CPC</t>
  </si>
  <si>
    <t>Điều chỉnh</t>
  </si>
  <si>
    <t>Nợ</t>
  </si>
  <si>
    <t>Có</t>
  </si>
  <si>
    <t>Tại ngày 30.09.2012</t>
  </si>
  <si>
    <t xml:space="preserve">                                                                 Tại ngày 30 tháng 09 năm 2012</t>
  </si>
  <si>
    <t>Quý 3 năm 2012</t>
  </si>
  <si>
    <t xml:space="preserve"> Dự phòng giảm giá đầu tư tài chính dài hạn </t>
  </si>
  <si>
    <t>Quý 3.2012</t>
  </si>
  <si>
    <t>Quý 3</t>
  </si>
  <si>
    <t>Thời kỳ tài chính kết thúc ngày 30 tháng 09 năm 2012</t>
  </si>
  <si>
    <r>
      <t xml:space="preserve">Số dư cuối kỳ của các khoản mục tiền tệ (tiền, tương đương tiền, các khoản phải thu và phải trả) có gốc ngoại tệ phải được đánh giá lại theo tỷ giá giao dịch bình quân trên thị trường ngoại tệ liên ngân hàng do Ngân hàng Nhà nước Việt Nam công bố tại thời điểm lập báo cáo tài chính. Tỷ giá quy đổi tại ngày 01/10/2012: </t>
    </r>
    <r>
      <rPr>
        <sz val="11"/>
        <color indexed="12"/>
        <rFont val="Times New Roman"/>
        <family val="1"/>
      </rPr>
      <t>20.900</t>
    </r>
    <r>
      <rPr>
        <sz val="11"/>
        <rFont val="Times New Roman"/>
        <family val="1"/>
      </rPr>
      <t xml:space="preserve"> VNĐ/USD.</t>
    </r>
  </si>
  <si>
    <t>30/09/2012</t>
  </si>
  <si>
    <t>Đến 30/09/2012 công ty đã đầu tư vào công ty con và chi nhánh nước ngoài như sau:</t>
  </si>
  <si>
    <t>Từ 01/07/2012 đến 30/09/2012</t>
  </si>
  <si>
    <t>Từ 01/07/2011 đến 30/09/2011</t>
  </si>
  <si>
    <t>Lũy kế từ đầu năm đến cuối quý 3</t>
  </si>
  <si>
    <t>Hoàng Ngọc Minh Danh</t>
  </si>
  <si>
    <t>Đặng Đình Hưng</t>
  </si>
  <si>
    <t xml:space="preserve">Tổng Giám đốc </t>
  </si>
  <si>
    <t xml:space="preserve">        Lập biểu                                                                                                             </t>
  </si>
  <si>
    <t>Từ 01/01/2012 đến 30/09/2012</t>
  </si>
  <si>
    <t>Từ 01/01/2011 đến 30/09/2011</t>
  </si>
  <si>
    <t xml:space="preserve">                              </t>
  </si>
  <si>
    <t>Keá toaùn tröôûng</t>
  </si>
  <si>
    <t>Dương Thị Phương Thảo                          Hoàng Ngọc Minh Danh</t>
  </si>
  <si>
    <t>Ngày 14/06/2012, Công ty Cổ Phần Chế Tạo Máy Dzĩ An tiến hành mua lại Cty TNHH MTV Chế Tạo Máy An Tâm. Công ty TNHH MTV Chế tạo máy An Tâm hoạt động theo Giấy chứng nhận đăng ký doanh nghiệp số 6400151188 đăng ký lần đầu ngày 22 tháng 12 năm 2009; đăng ký thay đổi lần 02 ngày 27 tháng 07 năm 2011 do Sở Kế hoạch và đầu tư tỉnh Đắc Nông cấp. Vốn điều lệ 4.000.000.000 đồng, chuyên sản xuất máy phát điện</t>
  </si>
  <si>
    <t>Báo cáo tài chính hợp nhất được lập trên cơ sở giá gốc và được hợp nhất từ các báo cáo tài chính của Công ty mẹ và các báo cáo tài chính của công ty con được lập đến ngày 30 tháng 09. Các báo cáo tài chính của công ty con được hợp nhất trong báo cáo tài chính hợp nhất từ ngày công ty mẹ bắt đầu kiểm soát đến ngày kết thúc kiểm soát. Việc kiểm soát này đạt được khi Công ty mẹ đạt quyền kiểm soát các chính sách tài chính và hoạt động của công ty con nhận đầu tư nhằm mục đích thu lợi ích từ hoạt động của các công ty này. Trong trường hợp cần thiết, báo cáo tài chính hợp nhất được điều chỉnh để các chính sách kế toán được áp dụng tại công ty mẹ và công ty con là giống nhau.</t>
  </si>
  <si>
    <t>Công TNHH Chế tạo máy An Tâm</t>
  </si>
  <si>
    <t>Tại ngày 
01.01.2012</t>
  </si>
  <si>
    <t>AN TAM</t>
  </si>
  <si>
    <t>CN CPC</t>
  </si>
  <si>
    <t>DZIMA</t>
  </si>
  <si>
    <t>Ngày 21 tháng 11 năm 2012</t>
  </si>
  <si>
    <t>Tài sản cố định hữu hình (Thuyết minh ở trang 22)</t>
  </si>
  <si>
    <t>a. Bảng đối chiếu biến động của vốn chủ sở hữu (xem trang số 23 - 24)</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</si>
</sst>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 ###"/>
    <numFmt numFmtId="173" formatCode="_(* #,##0_);_(* \(#,##0\);_(* &quot;-&quot;??_);_(@_)"/>
    <numFmt numFmtId="174" formatCode="_(* #,##0.0_);_(* \(#,##0.0\);_(* &quot;-&quot;??_);_(@_)"/>
    <numFmt numFmtId="175" formatCode="0.00000"/>
    <numFmt numFmtId="176" formatCode="_(* #,##0.000_);_(* \(#,##0.000\);_(* &quot;-&quot;??_);_(@_)"/>
    <numFmt numFmtId="177" formatCode="_(* #,##0.0000_);_(* \(#,##0.0000\);_(* &quot;-&quot;??_);_(@_)"/>
    <numFmt numFmtId="178" formatCode="_(* #,##0.0_);_(* \(#,##0.0\);_(* &quot;-&quot;?_);_(@_)"/>
    <numFmt numFmtId="179" formatCode="0.000E+00"/>
    <numFmt numFmtId="180" formatCode="_(* #,##0.00_);_(* \(#,##0.00\);_(* \-??_);_(@_)"/>
    <numFmt numFmtId="181" formatCode="_(* #,##0_);_(* \(#,##0\);_(* \-??_);_(@_)"/>
    <numFmt numFmtId="182" formatCode="_(* #,##0_);_(* \(#,##0\);_(* \-_);_(@_)"/>
    <numFmt numFmtId="183" formatCode="#,##0;\(#,##0\)"/>
    <numFmt numFmtId="184" formatCode="_(* #,##0.00_);_(* \(#,##0.00\);_(* \-_);_(@_)"/>
    <numFmt numFmtId="185" formatCode="_(* #.##0._);_(* \(#.##0.\);_(* \-??_);_(@_)"/>
    <numFmt numFmtId="186" formatCode="_(* #,##0.0_);_(* \(#,##0.0\);_(* \-??_);_(@_)"/>
  </numFmts>
  <fonts count="125">
    <font>
      <sz val="10"/>
      <name val="VNI-Times"/>
      <family val="0"/>
    </font>
    <font>
      <sz val="8"/>
      <name val="VNI-Times"/>
      <family val="0"/>
    </font>
    <font>
      <b/>
      <sz val="11"/>
      <name val="Times New Roman"/>
      <family val="1"/>
    </font>
    <font>
      <sz val="11"/>
      <name val="Times New Roman"/>
      <family val="1"/>
    </font>
    <font>
      <b/>
      <sz val="11"/>
      <name val="VN-NTime"/>
      <family val="0"/>
    </font>
    <font>
      <b/>
      <sz val="11"/>
      <name val="VNI-Times"/>
      <family val="0"/>
    </font>
    <font>
      <sz val="11"/>
      <name val="VNI-Times"/>
      <family val="0"/>
    </font>
    <font>
      <b/>
      <i/>
      <sz val="11"/>
      <name val="VNI-Times"/>
      <family val="0"/>
    </font>
    <font>
      <b/>
      <i/>
      <sz val="11"/>
      <name val="Times New Roman"/>
      <family val="1"/>
    </font>
    <font>
      <i/>
      <sz val="11"/>
      <name val="Times New Roman"/>
      <family val="1"/>
    </font>
    <font>
      <sz val="11"/>
      <color indexed="10"/>
      <name val="Times New Roman"/>
      <family val="1"/>
    </font>
    <font>
      <b/>
      <sz val="10"/>
      <name val="VNI-Times"/>
      <family val="0"/>
    </font>
    <font>
      <i/>
      <sz val="11"/>
      <name val="VNI-Times"/>
      <family val="0"/>
    </font>
    <font>
      <b/>
      <sz val="11"/>
      <color indexed="10"/>
      <name val="Times New Roman"/>
      <family val="1"/>
    </font>
    <font>
      <sz val="10"/>
      <name val="MS Sans Serif"/>
      <family val="0"/>
    </font>
    <font>
      <sz val="10"/>
      <name val="Arial"/>
      <family val="0"/>
    </font>
    <font>
      <b/>
      <sz val="11"/>
      <color indexed="8"/>
      <name val="Times New Roman"/>
      <family val="1"/>
    </font>
    <font>
      <i/>
      <sz val="11"/>
      <color indexed="8"/>
      <name val="Times New Roman"/>
      <family val="1"/>
    </font>
    <font>
      <sz val="11"/>
      <color indexed="8"/>
      <name val="Times New Roman"/>
      <family val="1"/>
    </font>
    <font>
      <b/>
      <sz val="12"/>
      <name val="Times New Roman"/>
      <family val="1"/>
    </font>
    <font>
      <sz val="24"/>
      <name val="VNI-Helve-Condense"/>
      <family val="0"/>
    </font>
    <font>
      <sz val="12"/>
      <name val="Times New Roman"/>
      <family val="1"/>
    </font>
    <font>
      <sz val="24"/>
      <name val="Arial"/>
      <family val="2"/>
    </font>
    <font>
      <sz val="24"/>
      <name val="Times New Roman"/>
      <family val="1"/>
    </font>
    <font>
      <b/>
      <sz val="16"/>
      <name val="Times New Roman"/>
      <family val="1"/>
    </font>
    <font>
      <sz val="24"/>
      <name val="VNI-Times"/>
      <family val="0"/>
    </font>
    <font>
      <b/>
      <sz val="24"/>
      <name val="Times New Roman"/>
      <family val="1"/>
    </font>
    <font>
      <b/>
      <sz val="18"/>
      <name val="Times New Roman"/>
      <family val="1"/>
    </font>
    <font>
      <b/>
      <sz val="11"/>
      <color indexed="20"/>
      <name val="Times New Roman"/>
      <family val="1"/>
    </font>
    <font>
      <i/>
      <sz val="11"/>
      <color indexed="10"/>
      <name val="Times New Roman"/>
      <family val="1"/>
    </font>
    <font>
      <sz val="10"/>
      <name val="Times New Roman"/>
      <family val="1"/>
    </font>
    <font>
      <i/>
      <sz val="10"/>
      <name val="Times New Roman"/>
      <family val="1"/>
    </font>
    <font>
      <b/>
      <sz val="10"/>
      <name val="Times New Roman"/>
      <family val="1"/>
    </font>
    <font>
      <b/>
      <sz val="11"/>
      <color indexed="18"/>
      <name val="Times New Roman"/>
      <family val="1"/>
    </font>
    <font>
      <b/>
      <sz val="14"/>
      <name val="Times New Roman"/>
      <family val="1"/>
    </font>
    <font>
      <sz val="9"/>
      <name val="Times New Roman"/>
      <family val="1"/>
    </font>
    <font>
      <i/>
      <sz val="11"/>
      <color indexed="18"/>
      <name val="Times New Roman"/>
      <family val="1"/>
    </font>
    <font>
      <sz val="12"/>
      <name val="VNI-Times"/>
      <family val="0"/>
    </font>
    <font>
      <i/>
      <sz val="10"/>
      <color indexed="8"/>
      <name val="Times New Roman"/>
      <family val="1"/>
    </font>
    <font>
      <b/>
      <sz val="14"/>
      <color indexed="8"/>
      <name val="Times New Roman"/>
      <family val="1"/>
    </font>
    <font>
      <sz val="11"/>
      <color indexed="12"/>
      <name val="Times New Roman"/>
      <family val="1"/>
    </font>
    <font>
      <sz val="9"/>
      <color indexed="12"/>
      <name val="Times New Roman"/>
      <family val="1"/>
    </font>
    <font>
      <sz val="11"/>
      <color indexed="14"/>
      <name val="Times New Roman"/>
      <family val="1"/>
    </font>
    <font>
      <sz val="9"/>
      <color indexed="10"/>
      <name val="Times New Roman"/>
      <family val="1"/>
    </font>
    <font>
      <sz val="10"/>
      <color indexed="12"/>
      <name val="Times New Roman"/>
      <family val="1"/>
    </font>
    <font>
      <sz val="11"/>
      <color indexed="18"/>
      <name val="Times New Roman"/>
      <family val="1"/>
    </font>
    <font>
      <b/>
      <sz val="10"/>
      <color indexed="8"/>
      <name val="Times New Roman"/>
      <family val="1"/>
    </font>
    <font>
      <b/>
      <i/>
      <sz val="11"/>
      <color indexed="62"/>
      <name val="Times New Roman"/>
      <family val="1"/>
    </font>
    <font>
      <b/>
      <sz val="11"/>
      <color indexed="12"/>
      <name val="Times New Roman"/>
      <family val="1"/>
    </font>
    <font>
      <sz val="10"/>
      <color indexed="12"/>
      <name val="VNI-Times"/>
      <family val="0"/>
    </font>
    <font>
      <sz val="11"/>
      <color indexed="56"/>
      <name val="Times New Roman"/>
      <family val="1"/>
    </font>
    <font>
      <sz val="10"/>
      <color indexed="12"/>
      <name val="MS Sans Serif"/>
      <family val="2"/>
    </font>
    <font>
      <sz val="10"/>
      <color indexed="10"/>
      <name val="Times New Roman"/>
      <family val="1"/>
    </font>
    <font>
      <i/>
      <sz val="10"/>
      <color indexed="12"/>
      <name val="Times New Roman"/>
      <family val="1"/>
    </font>
    <font>
      <b/>
      <i/>
      <sz val="10"/>
      <name val="Times New Roman"/>
      <family val="1"/>
    </font>
    <font>
      <sz val="10"/>
      <color indexed="30"/>
      <name val="Times New Roman"/>
      <family val="1"/>
    </font>
    <font>
      <i/>
      <sz val="11"/>
      <color indexed="12"/>
      <name val="Times New Roman"/>
      <family val="1"/>
    </font>
    <font>
      <sz val="10"/>
      <color indexed="8"/>
      <name val="Times New Roman"/>
      <family val="1"/>
    </font>
    <font>
      <b/>
      <i/>
      <sz val="11"/>
      <color indexed="8"/>
      <name val="Times New Roman"/>
      <family val="1"/>
    </font>
    <font>
      <b/>
      <i/>
      <sz val="10"/>
      <color indexed="8"/>
      <name val="Times New Roman"/>
      <family val="1"/>
    </font>
    <font>
      <i/>
      <sz val="10"/>
      <color indexed="10"/>
      <name val="Times New Roman"/>
      <family val="1"/>
    </font>
    <font>
      <i/>
      <sz val="9"/>
      <name val="Times New Roman"/>
      <family val="1"/>
    </font>
    <font>
      <b/>
      <i/>
      <sz val="11"/>
      <color indexed="12"/>
      <name val="Times New Roman"/>
      <family val="1"/>
    </font>
    <font>
      <b/>
      <sz val="10"/>
      <color indexed="12"/>
      <name val="Times New Roman"/>
      <family val="1"/>
    </font>
    <font>
      <b/>
      <sz val="9"/>
      <name val="Tahoma"/>
      <family val="2"/>
    </font>
    <font>
      <sz val="9"/>
      <name val="Tahoma"/>
      <family val="2"/>
    </font>
    <font>
      <b/>
      <sz val="10"/>
      <color indexed="18"/>
      <name val="Times New Roman"/>
      <family val="1"/>
    </font>
    <font>
      <b/>
      <sz val="9"/>
      <color indexed="12"/>
      <name val="Times New Roman"/>
      <family val="1"/>
    </font>
    <font>
      <sz val="10"/>
      <color indexed="8"/>
      <name val="VNI-Times"/>
      <family val="2"/>
    </font>
    <font>
      <sz val="10"/>
      <color indexed="9"/>
      <name val="VNI-Times"/>
      <family val="2"/>
    </font>
    <font>
      <sz val="10"/>
      <color indexed="20"/>
      <name val="VNI-Times"/>
      <family val="2"/>
    </font>
    <font>
      <b/>
      <sz val="10"/>
      <color indexed="52"/>
      <name val="VNI-Times"/>
      <family val="2"/>
    </font>
    <font>
      <b/>
      <sz val="10"/>
      <color indexed="9"/>
      <name val="VNI-Times"/>
      <family val="2"/>
    </font>
    <font>
      <i/>
      <sz val="10"/>
      <color indexed="23"/>
      <name val="VNI-Times"/>
      <family val="2"/>
    </font>
    <font>
      <sz val="10"/>
      <color indexed="17"/>
      <name val="VNI-Times"/>
      <family val="2"/>
    </font>
    <font>
      <b/>
      <sz val="15"/>
      <color indexed="56"/>
      <name val="VNI-Times"/>
      <family val="2"/>
    </font>
    <font>
      <b/>
      <sz val="13"/>
      <color indexed="56"/>
      <name val="VNI-Times"/>
      <family val="2"/>
    </font>
    <font>
      <b/>
      <sz val="11"/>
      <color indexed="56"/>
      <name val="VNI-Times"/>
      <family val="2"/>
    </font>
    <font>
      <sz val="10"/>
      <color indexed="62"/>
      <name val="VNI-Times"/>
      <family val="2"/>
    </font>
    <font>
      <sz val="10"/>
      <color indexed="52"/>
      <name val="VNI-Times"/>
      <family val="2"/>
    </font>
    <font>
      <sz val="10"/>
      <color indexed="60"/>
      <name val="VNI-Times"/>
      <family val="2"/>
    </font>
    <font>
      <b/>
      <sz val="10"/>
      <color indexed="63"/>
      <name val="VNI-Times"/>
      <family val="2"/>
    </font>
    <font>
      <b/>
      <sz val="18"/>
      <color indexed="56"/>
      <name val="Cambria"/>
      <family val="2"/>
    </font>
    <font>
      <b/>
      <sz val="10"/>
      <color indexed="8"/>
      <name val="VNI-Times"/>
      <family val="2"/>
    </font>
    <font>
      <sz val="10"/>
      <color indexed="10"/>
      <name val="VNI-Times"/>
      <family val="2"/>
    </font>
    <font>
      <sz val="10"/>
      <color indexed="9"/>
      <name val="Times New Roman"/>
      <family val="1"/>
    </font>
    <font>
      <i/>
      <sz val="10"/>
      <color indexed="9"/>
      <name val="Times New Roman"/>
      <family val="1"/>
    </font>
    <font>
      <sz val="9"/>
      <color indexed="9"/>
      <name val="Times New Roman"/>
      <family val="1"/>
    </font>
    <font>
      <b/>
      <sz val="10"/>
      <color indexed="9"/>
      <name val="Times New Roman"/>
      <family val="1"/>
    </font>
    <font>
      <sz val="10"/>
      <color indexed="9"/>
      <name val="MS Sans Serif"/>
      <family val="2"/>
    </font>
    <font>
      <sz val="10"/>
      <color indexed="10"/>
      <name val="MS Sans Serif"/>
      <family val="2"/>
    </font>
    <font>
      <sz val="11"/>
      <color indexed="9"/>
      <name val="Times New Roman"/>
      <family val="1"/>
    </font>
    <font>
      <sz val="10"/>
      <color theme="1"/>
      <name val="VNI-Times"/>
      <family val="2"/>
    </font>
    <font>
      <sz val="10"/>
      <color theme="0"/>
      <name val="VNI-Times"/>
      <family val="2"/>
    </font>
    <font>
      <sz val="10"/>
      <color rgb="FF9C0006"/>
      <name val="VNI-Times"/>
      <family val="2"/>
    </font>
    <font>
      <b/>
      <sz val="10"/>
      <color rgb="FFFA7D00"/>
      <name val="VNI-Times"/>
      <family val="2"/>
    </font>
    <font>
      <b/>
      <sz val="10"/>
      <color theme="0"/>
      <name val="VNI-Times"/>
      <family val="2"/>
    </font>
    <font>
      <i/>
      <sz val="10"/>
      <color rgb="FF7F7F7F"/>
      <name val="VNI-Times"/>
      <family val="2"/>
    </font>
    <font>
      <sz val="10"/>
      <color rgb="FF006100"/>
      <name val="VNI-Times"/>
      <family val="2"/>
    </font>
    <font>
      <b/>
      <sz val="15"/>
      <color theme="3"/>
      <name val="VNI-Times"/>
      <family val="2"/>
    </font>
    <font>
      <b/>
      <sz val="13"/>
      <color theme="3"/>
      <name val="VNI-Times"/>
      <family val="2"/>
    </font>
    <font>
      <b/>
      <sz val="11"/>
      <color theme="3"/>
      <name val="VNI-Times"/>
      <family val="2"/>
    </font>
    <font>
      <sz val="10"/>
      <color rgb="FF3F3F76"/>
      <name val="VNI-Times"/>
      <family val="2"/>
    </font>
    <font>
      <sz val="10"/>
      <color rgb="FFFA7D00"/>
      <name val="VNI-Times"/>
      <family val="2"/>
    </font>
    <font>
      <sz val="10"/>
      <color rgb="FF9C6500"/>
      <name val="VNI-Times"/>
      <family val="2"/>
    </font>
    <font>
      <b/>
      <sz val="10"/>
      <color rgb="FF3F3F3F"/>
      <name val="VNI-Times"/>
      <family val="2"/>
    </font>
    <font>
      <b/>
      <sz val="18"/>
      <color theme="3"/>
      <name val="Cambria"/>
      <family val="2"/>
    </font>
    <font>
      <b/>
      <sz val="10"/>
      <color theme="1"/>
      <name val="VNI-Times"/>
      <family val="2"/>
    </font>
    <font>
      <sz val="10"/>
      <color rgb="FFFF0000"/>
      <name val="VNI-Times"/>
      <family val="2"/>
    </font>
    <font>
      <b/>
      <sz val="11"/>
      <color rgb="FFFF0000"/>
      <name val="Times New Roman"/>
      <family val="1"/>
    </font>
    <font>
      <sz val="11"/>
      <color rgb="FFFF0000"/>
      <name val="Times New Roman"/>
      <family val="1"/>
    </font>
    <font>
      <sz val="10"/>
      <color rgb="FF0000FF"/>
      <name val="Times New Roman"/>
      <family val="1"/>
    </font>
    <font>
      <sz val="11"/>
      <color rgb="FF0000FF"/>
      <name val="Times New Roman"/>
      <family val="1"/>
    </font>
    <font>
      <sz val="10"/>
      <color theme="0"/>
      <name val="Times New Roman"/>
      <family val="1"/>
    </font>
    <font>
      <i/>
      <sz val="10"/>
      <color theme="0"/>
      <name val="Times New Roman"/>
      <family val="1"/>
    </font>
    <font>
      <sz val="9"/>
      <color theme="0"/>
      <name val="Times New Roman"/>
      <family val="1"/>
    </font>
    <font>
      <b/>
      <sz val="10"/>
      <color theme="0"/>
      <name val="Times New Roman"/>
      <family val="1"/>
    </font>
    <font>
      <sz val="10"/>
      <color theme="0"/>
      <name val="MS Sans Serif"/>
      <family val="2"/>
    </font>
    <font>
      <sz val="10"/>
      <color rgb="FFFF0000"/>
      <name val="Times New Roman"/>
      <family val="1"/>
    </font>
    <font>
      <sz val="10"/>
      <color rgb="FFFF0000"/>
      <name val="MS Sans Serif"/>
      <family val="2"/>
    </font>
    <font>
      <sz val="10"/>
      <color theme="1"/>
      <name val="Times New Roman"/>
      <family val="1"/>
    </font>
    <font>
      <sz val="9"/>
      <color rgb="FFFF0000"/>
      <name val="Times New Roman"/>
      <family val="1"/>
    </font>
    <font>
      <sz val="11"/>
      <color theme="0"/>
      <name val="Times New Roman"/>
      <family val="1"/>
    </font>
    <font>
      <sz val="11"/>
      <color rgb="FF002060"/>
      <name val="Times New Roman"/>
      <family val="1"/>
    </font>
    <font>
      <b/>
      <sz val="8"/>
      <name val="VNI-Time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color indexed="63"/>
      </right>
      <top>
        <color indexed="63"/>
      </top>
      <bottom style="thin"/>
    </border>
    <border>
      <left>
        <color indexed="63"/>
      </left>
      <right>
        <color indexed="63"/>
      </right>
      <top>
        <color indexed="63"/>
      </top>
      <bottom style="double">
        <color indexed="8"/>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style="hair">
        <color indexed="8"/>
      </top>
      <bottom style="thin"/>
    </border>
    <border>
      <left>
        <color indexed="63"/>
      </left>
      <right>
        <color indexed="63"/>
      </right>
      <top>
        <color indexed="63"/>
      </top>
      <bottom style="thin">
        <color indexed="8"/>
      </bottom>
    </border>
    <border>
      <left>
        <color indexed="63"/>
      </left>
      <right>
        <color indexed="63"/>
      </right>
      <top>
        <color indexed="63"/>
      </top>
      <bottom style="double"/>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style="hair"/>
    </border>
    <border>
      <left style="thin"/>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7"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102" fillId="30" borderId="1" applyNumberFormat="0" applyAlignment="0" applyProtection="0"/>
    <xf numFmtId="0" fontId="103" fillId="0" borderId="6" applyNumberFormat="0" applyFill="0" applyAlignment="0" applyProtection="0"/>
    <xf numFmtId="0" fontId="104" fillId="31" borderId="0" applyNumberFormat="0" applyBorder="0" applyAlignment="0" applyProtection="0"/>
    <xf numFmtId="0" fontId="92" fillId="0" borderId="0">
      <alignment/>
      <protection/>
    </xf>
    <xf numFmtId="0" fontId="0" fillId="0" borderId="0">
      <alignment/>
      <protection/>
    </xf>
    <xf numFmtId="0" fontId="6" fillId="0" borderId="0">
      <alignment/>
      <protection/>
    </xf>
    <xf numFmtId="0" fontId="15" fillId="0" borderId="0">
      <alignment/>
      <protection/>
    </xf>
    <xf numFmtId="0" fontId="37" fillId="0" borderId="0">
      <alignment/>
      <protection/>
    </xf>
    <xf numFmtId="0" fontId="0" fillId="32" borderId="7" applyNumberFormat="0" applyFont="0" applyAlignment="0" applyProtection="0"/>
    <xf numFmtId="0" fontId="105" fillId="27" borderId="8" applyNumberFormat="0" applyAlignment="0" applyProtection="0"/>
    <xf numFmtId="9" fontId="0" fillId="0" borderId="0" applyFont="0" applyFill="0" applyBorder="0" applyAlignment="0" applyProtection="0"/>
    <xf numFmtId="0" fontId="106" fillId="0" borderId="0" applyNumberFormat="0" applyFill="0" applyBorder="0" applyAlignment="0" applyProtection="0"/>
    <xf numFmtId="0" fontId="107" fillId="0" borderId="9" applyNumberFormat="0" applyFill="0" applyAlignment="0" applyProtection="0"/>
    <xf numFmtId="0" fontId="108" fillId="0" borderId="0" applyNumberFormat="0" applyFill="0" applyBorder="0" applyAlignment="0" applyProtection="0"/>
  </cellStyleXfs>
  <cellXfs count="792">
    <xf numFmtId="0" fontId="0" fillId="0" borderId="0" xfId="0" applyAlignment="1">
      <alignment/>
    </xf>
    <xf numFmtId="0" fontId="5" fillId="0" borderId="0" xfId="0" applyFont="1" applyAlignment="1">
      <alignment/>
    </xf>
    <xf numFmtId="0" fontId="6" fillId="0" borderId="0" xfId="0" applyFont="1" applyAlignment="1">
      <alignment/>
    </xf>
    <xf numFmtId="0" fontId="3" fillId="0" borderId="0" xfId="0" applyFont="1" applyAlignment="1">
      <alignment horizontal="center"/>
    </xf>
    <xf numFmtId="0" fontId="8" fillId="0" borderId="0" xfId="0" applyFont="1" applyAlignment="1">
      <alignment/>
    </xf>
    <xf numFmtId="0" fontId="3" fillId="0" borderId="0" xfId="0" applyFont="1" applyAlignment="1">
      <alignment/>
    </xf>
    <xf numFmtId="172" fontId="6" fillId="0" borderId="0" xfId="0" applyNumberFormat="1" applyFont="1" applyAlignment="1">
      <alignment/>
    </xf>
    <xf numFmtId="172" fontId="3" fillId="0" borderId="0" xfId="0" applyNumberFormat="1" applyFont="1" applyAlignment="1">
      <alignment/>
    </xf>
    <xf numFmtId="0" fontId="2" fillId="0" borderId="0" xfId="0" applyFont="1" applyAlignment="1">
      <alignment/>
    </xf>
    <xf numFmtId="0" fontId="5" fillId="0" borderId="10" xfId="0" applyFont="1" applyBorder="1" applyAlignment="1">
      <alignment horizontal="center"/>
    </xf>
    <xf numFmtId="0" fontId="6" fillId="0" borderId="11" xfId="0" applyFont="1" applyBorder="1" applyAlignment="1">
      <alignment horizontal="center"/>
    </xf>
    <xf numFmtId="0" fontId="5" fillId="0" borderId="11" xfId="0" applyFont="1" applyBorder="1" applyAlignment="1">
      <alignment horizontal="center"/>
    </xf>
    <xf numFmtId="0" fontId="3" fillId="0" borderId="0" xfId="0" applyFont="1" applyFill="1" applyBorder="1" applyAlignment="1">
      <alignment/>
    </xf>
    <xf numFmtId="173" fontId="3" fillId="0" borderId="0" xfId="43" applyNumberFormat="1" applyFont="1" applyAlignment="1">
      <alignment/>
    </xf>
    <xf numFmtId="173" fontId="2" fillId="0" borderId="0" xfId="43" applyNumberFormat="1" applyFont="1" applyAlignment="1">
      <alignment/>
    </xf>
    <xf numFmtId="172" fontId="2" fillId="0" borderId="0" xfId="0" applyNumberFormat="1" applyFont="1" applyAlignment="1">
      <alignment horizontal="center"/>
    </xf>
    <xf numFmtId="172" fontId="3" fillId="0" borderId="0" xfId="0" applyNumberFormat="1" applyFont="1" applyAlignment="1">
      <alignment horizontal="center"/>
    </xf>
    <xf numFmtId="9" fontId="3" fillId="0" borderId="0" xfId="63" applyFont="1" applyAlignment="1">
      <alignment/>
    </xf>
    <xf numFmtId="173" fontId="2" fillId="0" borderId="11" xfId="43" applyNumberFormat="1" applyFont="1" applyBorder="1" applyAlignment="1">
      <alignment/>
    </xf>
    <xf numFmtId="173" fontId="2" fillId="0" borderId="10" xfId="43" applyNumberFormat="1" applyFont="1" applyBorder="1" applyAlignment="1">
      <alignment/>
    </xf>
    <xf numFmtId="173" fontId="3" fillId="0" borderId="11" xfId="43" applyNumberFormat="1" applyFont="1" applyBorder="1" applyAlignment="1">
      <alignment/>
    </xf>
    <xf numFmtId="0" fontId="12" fillId="0" borderId="0" xfId="0" applyFont="1" applyAlignment="1">
      <alignment/>
    </xf>
    <xf numFmtId="173" fontId="2" fillId="0" borderId="10" xfId="43" applyNumberFormat="1" applyFont="1" applyBorder="1" applyAlignment="1">
      <alignment horizontal="center"/>
    </xf>
    <xf numFmtId="173" fontId="3" fillId="0" borderId="11" xfId="43" applyNumberFormat="1" applyFont="1" applyBorder="1" applyAlignment="1">
      <alignment horizontal="center"/>
    </xf>
    <xf numFmtId="173" fontId="2" fillId="0" borderId="11" xfId="43" applyNumberFormat="1" applyFont="1" applyBorder="1" applyAlignment="1">
      <alignment horizontal="center"/>
    </xf>
    <xf numFmtId="173" fontId="2" fillId="0" borderId="10" xfId="43" applyNumberFormat="1" applyFont="1" applyBorder="1" applyAlignment="1">
      <alignment/>
    </xf>
    <xf numFmtId="173" fontId="3" fillId="0" borderId="11" xfId="43" applyNumberFormat="1" applyFont="1" applyBorder="1" applyAlignment="1">
      <alignment/>
    </xf>
    <xf numFmtId="173" fontId="2" fillId="0" borderId="11" xfId="43" applyNumberFormat="1" applyFont="1" applyBorder="1" applyAlignment="1">
      <alignment/>
    </xf>
    <xf numFmtId="0" fontId="12" fillId="0" borderId="11" xfId="0" applyFont="1" applyBorder="1" applyAlignment="1">
      <alignment horizontal="center"/>
    </xf>
    <xf numFmtId="173" fontId="9" fillId="0" borderId="11" xfId="43" applyNumberFormat="1" applyFont="1" applyBorder="1" applyAlignment="1">
      <alignment/>
    </xf>
    <xf numFmtId="173" fontId="9" fillId="0" borderId="11" xfId="43" applyNumberFormat="1" applyFont="1" applyBorder="1" applyAlignment="1">
      <alignment horizontal="center"/>
    </xf>
    <xf numFmtId="173" fontId="9" fillId="0" borderId="11" xfId="43" applyNumberFormat="1" applyFont="1" applyBorder="1" applyAlignment="1">
      <alignment/>
    </xf>
    <xf numFmtId="0" fontId="5" fillId="0" borderId="12" xfId="0" applyFont="1" applyBorder="1" applyAlignment="1">
      <alignment horizontal="center"/>
    </xf>
    <xf numFmtId="173" fontId="2" fillId="0" borderId="12" xfId="43" applyNumberFormat="1" applyFont="1" applyBorder="1" applyAlignment="1">
      <alignment/>
    </xf>
    <xf numFmtId="173" fontId="2" fillId="0" borderId="12" xfId="43" applyNumberFormat="1" applyFont="1" applyBorder="1" applyAlignment="1">
      <alignment horizontal="center"/>
    </xf>
    <xf numFmtId="173" fontId="2" fillId="0" borderId="12" xfId="43" applyNumberFormat="1" applyFont="1" applyBorder="1" applyAlignment="1">
      <alignment/>
    </xf>
    <xf numFmtId="0" fontId="2" fillId="0" borderId="0" xfId="59" applyFont="1" applyFill="1" applyBorder="1" applyAlignment="1">
      <alignment horizontal="center" vertical="center"/>
      <protection/>
    </xf>
    <xf numFmtId="0" fontId="2" fillId="0" borderId="0" xfId="59" applyFont="1" applyFill="1" applyBorder="1" applyAlignment="1">
      <alignment horizontal="center" vertical="center" wrapText="1"/>
      <protection/>
    </xf>
    <xf numFmtId="0" fontId="3" fillId="0" borderId="0" xfId="58" applyFont="1" applyFill="1" applyBorder="1">
      <alignment/>
      <protection/>
    </xf>
    <xf numFmtId="0" fontId="3" fillId="0" borderId="0" xfId="58" applyFont="1" applyBorder="1" applyAlignment="1">
      <alignment wrapText="1"/>
      <protection/>
    </xf>
    <xf numFmtId="173" fontId="5" fillId="0" borderId="0" xfId="43" applyNumberFormat="1"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5" fillId="0" borderId="0" xfId="0" applyFont="1" applyAlignment="1">
      <alignment/>
    </xf>
    <xf numFmtId="0" fontId="23" fillId="0" borderId="0" xfId="0" applyFont="1" applyAlignment="1">
      <alignment/>
    </xf>
    <xf numFmtId="0" fontId="26" fillId="0" borderId="0" xfId="0" applyFont="1" applyBorder="1" applyAlignment="1">
      <alignment horizontal="center"/>
    </xf>
    <xf numFmtId="0" fontId="25" fillId="0" borderId="0" xfId="0" applyFont="1" applyAlignment="1">
      <alignment/>
    </xf>
    <xf numFmtId="0" fontId="22" fillId="0" borderId="0" xfId="0" applyFont="1" applyAlignment="1">
      <alignment/>
    </xf>
    <xf numFmtId="0" fontId="20" fillId="0" borderId="0" xfId="0" applyFont="1" applyAlignment="1">
      <alignment/>
    </xf>
    <xf numFmtId="173" fontId="6" fillId="0" borderId="0" xfId="43" applyNumberFormat="1" applyFont="1" applyAlignment="1">
      <alignment/>
    </xf>
    <xf numFmtId="9" fontId="3" fillId="0" borderId="0" xfId="63" applyFont="1" applyAlignment="1">
      <alignment horizontal="center"/>
    </xf>
    <xf numFmtId="173" fontId="28" fillId="0" borderId="11" xfId="43" applyNumberFormat="1" applyFont="1" applyBorder="1" applyAlignment="1">
      <alignment/>
    </xf>
    <xf numFmtId="2" fontId="6" fillId="0" borderId="0" xfId="0" applyNumberFormat="1" applyFont="1" applyAlignment="1">
      <alignment/>
    </xf>
    <xf numFmtId="9" fontId="6" fillId="0" borderId="0" xfId="63" applyFont="1" applyAlignment="1">
      <alignment/>
    </xf>
    <xf numFmtId="0" fontId="10" fillId="0" borderId="0" xfId="0" applyFont="1" applyAlignment="1">
      <alignment/>
    </xf>
    <xf numFmtId="181" fontId="30" fillId="0" borderId="11" xfId="43" applyNumberFormat="1" applyFont="1" applyFill="1" applyBorder="1" applyAlignment="1" applyProtection="1">
      <alignment/>
      <protection/>
    </xf>
    <xf numFmtId="182" fontId="32" fillId="0" borderId="0" xfId="43" applyNumberFormat="1" applyFont="1" applyFill="1" applyBorder="1" applyAlignment="1" applyProtection="1">
      <alignment horizontal="right"/>
      <protection/>
    </xf>
    <xf numFmtId="182" fontId="30" fillId="0" borderId="0" xfId="43" applyNumberFormat="1" applyFont="1" applyFill="1" applyBorder="1" applyAlignment="1" applyProtection="1">
      <alignment horizontal="right"/>
      <protection/>
    </xf>
    <xf numFmtId="182" fontId="32" fillId="0" borderId="11" xfId="43" applyNumberFormat="1" applyFont="1" applyFill="1" applyBorder="1" applyAlignment="1" applyProtection="1">
      <alignment horizontal="right"/>
      <protection/>
    </xf>
    <xf numFmtId="182" fontId="30" fillId="0" borderId="11" xfId="43" applyNumberFormat="1" applyFont="1" applyFill="1" applyBorder="1" applyAlignment="1" applyProtection="1">
      <alignment horizontal="right"/>
      <protection/>
    </xf>
    <xf numFmtId="182" fontId="31" fillId="0" borderId="11" xfId="43" applyNumberFormat="1" applyFont="1" applyFill="1" applyBorder="1" applyAlignment="1" applyProtection="1">
      <alignment horizontal="right"/>
      <protection/>
    </xf>
    <xf numFmtId="182" fontId="32" fillId="0" borderId="10" xfId="43" applyNumberFormat="1" applyFont="1" applyFill="1" applyBorder="1" applyAlignment="1" applyProtection="1">
      <alignment horizontal="right"/>
      <protection/>
    </xf>
    <xf numFmtId="0" fontId="33" fillId="0" borderId="0" xfId="15" applyNumberFormat="1" applyFont="1" applyAlignment="1">
      <alignment horizontal="left"/>
      <protection/>
    </xf>
    <xf numFmtId="0" fontId="3" fillId="0" borderId="0" xfId="15" applyNumberFormat="1" applyFont="1" applyAlignment="1">
      <alignment horizontal="center"/>
      <protection/>
    </xf>
    <xf numFmtId="182" fontId="30" fillId="0" borderId="0" xfId="15" applyNumberFormat="1" applyFont="1">
      <alignment/>
      <protection/>
    </xf>
    <xf numFmtId="0" fontId="30" fillId="0" borderId="0" xfId="15" applyNumberFormat="1" applyFont="1" applyAlignment="1">
      <alignment horizontal="center"/>
      <protection/>
    </xf>
    <xf numFmtId="0" fontId="30" fillId="0" borderId="0" xfId="15" applyNumberFormat="1" applyFont="1">
      <alignment/>
      <protection/>
    </xf>
    <xf numFmtId="181" fontId="30" fillId="0" borderId="0" xfId="43" applyNumberFormat="1" applyFont="1" applyFill="1" applyBorder="1" applyAlignment="1" applyProtection="1">
      <alignment/>
      <protection/>
    </xf>
    <xf numFmtId="182" fontId="30" fillId="0" borderId="0" xfId="43" applyNumberFormat="1" applyFont="1" applyFill="1" applyBorder="1" applyAlignment="1" applyProtection="1">
      <alignment/>
      <protection/>
    </xf>
    <xf numFmtId="181" fontId="32" fillId="0" borderId="0" xfId="43" applyNumberFormat="1" applyFont="1" applyFill="1" applyBorder="1" applyAlignment="1" applyProtection="1">
      <alignment horizontal="right"/>
      <protection/>
    </xf>
    <xf numFmtId="180" fontId="14" fillId="0" borderId="0" xfId="43" applyNumberFormat="1" applyFont="1" applyAlignment="1">
      <alignment/>
    </xf>
    <xf numFmtId="0" fontId="30" fillId="0" borderId="0" xfId="0" applyFont="1" applyAlignment="1">
      <alignment/>
    </xf>
    <xf numFmtId="0" fontId="34" fillId="33" borderId="0" xfId="58" applyFont="1" applyFill="1" applyAlignment="1">
      <alignment vertical="center"/>
      <protection/>
    </xf>
    <xf numFmtId="0" fontId="30" fillId="33" borderId="0" xfId="58" applyFont="1" applyFill="1" applyAlignment="1">
      <alignment vertical="center"/>
      <protection/>
    </xf>
    <xf numFmtId="180" fontId="14" fillId="0" borderId="0" xfId="43" applyNumberFormat="1" applyFont="1" applyFill="1" applyBorder="1" applyAlignment="1" applyProtection="1">
      <alignment wrapText="1"/>
      <protection/>
    </xf>
    <xf numFmtId="181" fontId="35" fillId="0" borderId="0" xfId="43" applyNumberFormat="1" applyFont="1" applyFill="1" applyBorder="1" applyAlignment="1" applyProtection="1">
      <alignment wrapText="1"/>
      <protection/>
    </xf>
    <xf numFmtId="0" fontId="30" fillId="33" borderId="0" xfId="58" applyFont="1" applyFill="1">
      <alignment/>
      <protection/>
    </xf>
    <xf numFmtId="0" fontId="3" fillId="33" borderId="0" xfId="58" applyFont="1" applyFill="1" applyAlignment="1">
      <alignment vertical="center"/>
      <protection/>
    </xf>
    <xf numFmtId="180" fontId="14" fillId="0" borderId="0" xfId="43" applyNumberFormat="1" applyFont="1" applyFill="1" applyBorder="1" applyAlignment="1" applyProtection="1">
      <alignment horizontal="right" wrapText="1"/>
      <protection/>
    </xf>
    <xf numFmtId="181" fontId="35" fillId="0" borderId="0" xfId="43" applyNumberFormat="1" applyFont="1" applyFill="1" applyBorder="1" applyAlignment="1" applyProtection="1">
      <alignment horizontal="right" wrapText="1"/>
      <protection/>
    </xf>
    <xf numFmtId="0" fontId="36" fillId="0" borderId="13" xfId="15" applyNumberFormat="1" applyFont="1" applyBorder="1" applyAlignment="1">
      <alignment/>
      <protection/>
    </xf>
    <xf numFmtId="0" fontId="30" fillId="0" borderId="13" xfId="15" applyFont="1" applyBorder="1">
      <alignment/>
      <protection/>
    </xf>
    <xf numFmtId="183" fontId="30" fillId="0" borderId="13" xfId="60" applyNumberFormat="1" applyFont="1" applyBorder="1" applyAlignment="1">
      <alignment/>
      <protection/>
    </xf>
    <xf numFmtId="0" fontId="30" fillId="0" borderId="13" xfId="60" applyNumberFormat="1" applyFont="1" applyBorder="1" applyAlignment="1">
      <alignment horizontal="center"/>
      <protection/>
    </xf>
    <xf numFmtId="181" fontId="30" fillId="0" borderId="13" xfId="60" applyNumberFormat="1" applyFont="1" applyBorder="1">
      <alignment/>
      <protection/>
    </xf>
    <xf numFmtId="182" fontId="30" fillId="0" borderId="13" xfId="15" applyNumberFormat="1" applyFont="1" applyBorder="1" applyAlignment="1">
      <alignment horizontal="right"/>
      <protection/>
    </xf>
    <xf numFmtId="0" fontId="30" fillId="0" borderId="13" xfId="15" applyFont="1" applyBorder="1" applyAlignment="1">
      <alignment horizontal="right"/>
      <protection/>
    </xf>
    <xf numFmtId="0" fontId="38" fillId="0" borderId="13" xfId="15" applyNumberFormat="1" applyFont="1" applyBorder="1" applyAlignment="1">
      <alignment horizontal="right"/>
      <protection/>
    </xf>
    <xf numFmtId="180" fontId="14" fillId="0" borderId="13" xfId="43" applyNumberFormat="1" applyFont="1" applyBorder="1" applyAlignment="1">
      <alignment/>
    </xf>
    <xf numFmtId="0" fontId="31" fillId="0" borderId="13" xfId="15" applyFont="1" applyBorder="1" applyAlignment="1">
      <alignment horizontal="right"/>
      <protection/>
    </xf>
    <xf numFmtId="0" fontId="30" fillId="0" borderId="0" xfId="15" applyFont="1" applyBorder="1">
      <alignment/>
      <protection/>
    </xf>
    <xf numFmtId="0" fontId="32" fillId="33" borderId="0" xfId="58" applyFont="1" applyFill="1" applyBorder="1" applyAlignment="1">
      <alignment vertical="center"/>
      <protection/>
    </xf>
    <xf numFmtId="0" fontId="30" fillId="33" borderId="0" xfId="58" applyFont="1" applyFill="1" applyBorder="1" applyAlignment="1">
      <alignment vertical="center"/>
      <protection/>
    </xf>
    <xf numFmtId="180" fontId="14" fillId="0" borderId="0" xfId="43" applyNumberFormat="1" applyFont="1" applyFill="1" applyBorder="1" applyAlignment="1">
      <alignment horizontal="right" vertical="center"/>
    </xf>
    <xf numFmtId="182" fontId="30" fillId="33" borderId="0" xfId="58" applyNumberFormat="1" applyFont="1" applyFill="1" applyBorder="1" applyAlignment="1">
      <alignment horizontal="right" vertical="center"/>
      <protection/>
    </xf>
    <xf numFmtId="182" fontId="30" fillId="0" borderId="0" xfId="43" applyNumberFormat="1" applyFont="1" applyFill="1" applyBorder="1" applyAlignment="1" applyProtection="1">
      <alignment horizontal="right" vertical="center"/>
      <protection/>
    </xf>
    <xf numFmtId="0" fontId="16" fillId="0" borderId="0" xfId="15" applyFont="1" applyFill="1" applyBorder="1" applyAlignment="1">
      <alignment horizontal="center" vertical="center" wrapText="1"/>
      <protection/>
    </xf>
    <xf numFmtId="181" fontId="33" fillId="0" borderId="0" xfId="43" applyNumberFormat="1" applyFont="1" applyFill="1" applyBorder="1" applyAlignment="1" applyProtection="1">
      <alignment horizontal="center" vertical="center"/>
      <protection/>
    </xf>
    <xf numFmtId="0" fontId="2" fillId="33" borderId="0" xfId="58" applyFont="1" applyFill="1" applyBorder="1">
      <alignment/>
      <protection/>
    </xf>
    <xf numFmtId="0" fontId="3" fillId="33" borderId="0" xfId="58" applyFont="1" applyFill="1" applyBorder="1">
      <alignment/>
      <protection/>
    </xf>
    <xf numFmtId="0" fontId="2" fillId="33" borderId="0" xfId="58" applyFont="1" applyFill="1" applyBorder="1" applyAlignment="1">
      <alignment horizontal="center"/>
      <protection/>
    </xf>
    <xf numFmtId="182" fontId="3" fillId="0" borderId="0" xfId="43" applyNumberFormat="1" applyFont="1" applyFill="1" applyBorder="1" applyAlignment="1" applyProtection="1">
      <alignment horizontal="right"/>
      <protection/>
    </xf>
    <xf numFmtId="182" fontId="2" fillId="0" borderId="0" xfId="58" applyNumberFormat="1" applyFont="1" applyFill="1" applyBorder="1" applyAlignment="1">
      <alignment horizontal="right"/>
      <protection/>
    </xf>
    <xf numFmtId="0" fontId="3" fillId="33" borderId="0" xfId="58" applyFont="1" applyFill="1">
      <alignment/>
      <protection/>
    </xf>
    <xf numFmtId="0" fontId="2" fillId="33" borderId="0" xfId="58" applyFont="1" applyFill="1" applyBorder="1" applyAlignment="1">
      <alignment/>
      <protection/>
    </xf>
    <xf numFmtId="0" fontId="3" fillId="33" borderId="0" xfId="58" applyFont="1" applyFill="1" applyBorder="1" applyAlignment="1">
      <alignment/>
      <protection/>
    </xf>
    <xf numFmtId="0" fontId="3" fillId="33" borderId="0" xfId="58" applyFont="1" applyFill="1" applyBorder="1" applyAlignment="1">
      <alignment horizontal="center"/>
      <protection/>
    </xf>
    <xf numFmtId="182" fontId="30" fillId="0" borderId="0" xfId="58" applyNumberFormat="1" applyFont="1" applyFill="1" applyBorder="1" applyAlignment="1">
      <alignment horizontal="right"/>
      <protection/>
    </xf>
    <xf numFmtId="0" fontId="3" fillId="33" borderId="0" xfId="58" applyFont="1" applyFill="1" applyAlignment="1">
      <alignment/>
      <protection/>
    </xf>
    <xf numFmtId="182" fontId="32" fillId="0" borderId="0" xfId="58" applyNumberFormat="1" applyFont="1" applyFill="1" applyBorder="1" applyAlignment="1">
      <alignment horizontal="right"/>
      <protection/>
    </xf>
    <xf numFmtId="0" fontId="3" fillId="33" borderId="0" xfId="58" applyFont="1" applyFill="1" applyBorder="1" applyAlignment="1" quotePrefix="1">
      <alignment/>
      <protection/>
    </xf>
    <xf numFmtId="182" fontId="3" fillId="33" borderId="0" xfId="58" applyNumberFormat="1" applyFont="1" applyFill="1" applyAlignment="1">
      <alignment/>
      <protection/>
    </xf>
    <xf numFmtId="0" fontId="40" fillId="33" borderId="0" xfId="58" applyFont="1" applyFill="1" applyAlignment="1">
      <alignment horizontal="center"/>
      <protection/>
    </xf>
    <xf numFmtId="0" fontId="40" fillId="33" borderId="0" xfId="58" applyFont="1" applyFill="1" applyAlignment="1">
      <alignment/>
      <protection/>
    </xf>
    <xf numFmtId="184" fontId="41" fillId="0" borderId="0" xfId="43" applyNumberFormat="1" applyFont="1" applyFill="1" applyBorder="1" applyAlignment="1" applyProtection="1">
      <alignment horizontal="right"/>
      <protection/>
    </xf>
    <xf numFmtId="181" fontId="40" fillId="33" borderId="0" xfId="58" applyNumberFormat="1" applyFont="1" applyFill="1" applyAlignment="1">
      <alignment/>
      <protection/>
    </xf>
    <xf numFmtId="182" fontId="41" fillId="0" borderId="0" xfId="43" applyNumberFormat="1" applyFont="1" applyFill="1" applyBorder="1" applyAlignment="1" applyProtection="1">
      <alignment horizontal="right"/>
      <protection/>
    </xf>
    <xf numFmtId="184" fontId="40" fillId="0" borderId="0" xfId="43" applyNumberFormat="1" applyFont="1" applyFill="1" applyBorder="1" applyAlignment="1" applyProtection="1">
      <alignment horizontal="right"/>
      <protection/>
    </xf>
    <xf numFmtId="171" fontId="3" fillId="33" borderId="0" xfId="58" applyNumberFormat="1" applyFont="1" applyFill="1" applyAlignment="1">
      <alignment/>
      <protection/>
    </xf>
    <xf numFmtId="182" fontId="40" fillId="0" borderId="0" xfId="43" applyNumberFormat="1" applyFont="1" applyFill="1" applyBorder="1" applyAlignment="1" applyProtection="1">
      <alignment horizontal="right"/>
      <protection/>
    </xf>
    <xf numFmtId="184" fontId="40" fillId="33" borderId="0" xfId="58" applyNumberFormat="1" applyFont="1" applyFill="1">
      <alignment/>
      <protection/>
    </xf>
    <xf numFmtId="0" fontId="40" fillId="33" borderId="0" xfId="58" applyFont="1" applyFill="1">
      <alignment/>
      <protection/>
    </xf>
    <xf numFmtId="182" fontId="42" fillId="33" borderId="0" xfId="58" applyNumberFormat="1" applyFont="1" applyFill="1">
      <alignment/>
      <protection/>
    </xf>
    <xf numFmtId="182" fontId="40" fillId="33" borderId="0" xfId="58" applyNumberFormat="1" applyFont="1" applyFill="1">
      <alignment/>
      <protection/>
    </xf>
    <xf numFmtId="184" fontId="43" fillId="0" borderId="0" xfId="43" applyNumberFormat="1" applyFont="1" applyFill="1" applyBorder="1" applyAlignment="1" applyProtection="1">
      <alignment horizontal="right"/>
      <protection/>
    </xf>
    <xf numFmtId="0" fontId="3" fillId="33" borderId="0" xfId="58" applyFont="1" applyFill="1" applyBorder="1" applyAlignment="1">
      <alignment vertical="top"/>
      <protection/>
    </xf>
    <xf numFmtId="0" fontId="3" fillId="33" borderId="0" xfId="58" applyFont="1" applyFill="1" applyBorder="1" applyAlignment="1">
      <alignment horizontal="center" vertical="top"/>
      <protection/>
    </xf>
    <xf numFmtId="182" fontId="32" fillId="0" borderId="13" xfId="43" applyNumberFormat="1" applyFont="1" applyFill="1" applyBorder="1" applyAlignment="1" applyProtection="1">
      <alignment horizontal="right"/>
      <protection/>
    </xf>
    <xf numFmtId="0" fontId="2" fillId="33" borderId="0" xfId="58" applyFont="1" applyFill="1" applyBorder="1" applyAlignment="1">
      <alignment vertical="center"/>
      <protection/>
    </xf>
    <xf numFmtId="0" fontId="3" fillId="33" borderId="0" xfId="58" applyFont="1" applyFill="1" applyBorder="1" applyAlignment="1">
      <alignment vertical="center"/>
      <protection/>
    </xf>
    <xf numFmtId="0" fontId="2" fillId="33" borderId="0" xfId="58" applyFont="1" applyFill="1" applyBorder="1" applyAlignment="1">
      <alignment horizontal="center" vertical="center"/>
      <protection/>
    </xf>
    <xf numFmtId="182" fontId="32" fillId="0" borderId="0" xfId="58" applyNumberFormat="1" applyFont="1" applyFill="1" applyBorder="1" applyAlignment="1">
      <alignment horizontal="right" vertical="center"/>
      <protection/>
    </xf>
    <xf numFmtId="0" fontId="40" fillId="33" borderId="0" xfId="58" applyFont="1" applyFill="1" applyAlignment="1">
      <alignment vertical="center"/>
      <protection/>
    </xf>
    <xf numFmtId="171" fontId="40" fillId="33" borderId="0" xfId="58" applyNumberFormat="1" applyFont="1" applyFill="1" applyAlignment="1">
      <alignment vertical="center"/>
      <protection/>
    </xf>
    <xf numFmtId="0" fontId="3" fillId="33" borderId="0" xfId="58" applyFont="1" applyFill="1" applyBorder="1" applyAlignment="1">
      <alignment horizontal="center" vertical="center"/>
      <protection/>
    </xf>
    <xf numFmtId="182" fontId="44" fillId="0" borderId="0" xfId="43" applyNumberFormat="1" applyFont="1" applyFill="1" applyBorder="1" applyAlignment="1" applyProtection="1">
      <alignment horizontal="right"/>
      <protection/>
    </xf>
    <xf numFmtId="182" fontId="3" fillId="33" borderId="0" xfId="58" applyNumberFormat="1" applyFont="1" applyFill="1">
      <alignment/>
      <protection/>
    </xf>
    <xf numFmtId="0" fontId="10" fillId="33" borderId="0" xfId="58" applyFont="1" applyFill="1">
      <alignment/>
      <protection/>
    </xf>
    <xf numFmtId="182" fontId="32" fillId="0" borderId="14" xfId="43" applyNumberFormat="1" applyFont="1" applyFill="1" applyBorder="1" applyAlignment="1" applyProtection="1">
      <alignment horizontal="right"/>
      <protection/>
    </xf>
    <xf numFmtId="180" fontId="14" fillId="33" borderId="0" xfId="43" applyNumberFormat="1" applyFont="1" applyFill="1" applyAlignment="1">
      <alignment/>
    </xf>
    <xf numFmtId="182" fontId="2" fillId="33" borderId="0" xfId="58" applyNumberFormat="1" applyFont="1" applyFill="1" applyBorder="1" applyAlignment="1">
      <alignment horizontal="right"/>
      <protection/>
    </xf>
    <xf numFmtId="182" fontId="2" fillId="0" borderId="0" xfId="43" applyNumberFormat="1" applyFont="1" applyFill="1" applyBorder="1" applyAlignment="1" applyProtection="1">
      <alignment horizontal="right"/>
      <protection/>
    </xf>
    <xf numFmtId="182" fontId="3" fillId="0" borderId="0" xfId="15" applyNumberFormat="1" applyFont="1">
      <alignment/>
      <protection/>
    </xf>
    <xf numFmtId="182" fontId="16" fillId="0" borderId="0" xfId="15" applyNumberFormat="1" applyFont="1" applyBorder="1" applyAlignment="1">
      <alignment horizontal="left"/>
      <protection/>
    </xf>
    <xf numFmtId="182" fontId="16" fillId="0" borderId="0" xfId="15" applyNumberFormat="1" applyFont="1" applyBorder="1" applyAlignment="1">
      <alignment/>
      <protection/>
    </xf>
    <xf numFmtId="182" fontId="16" fillId="0" borderId="0" xfId="15" applyNumberFormat="1" applyFont="1" applyBorder="1">
      <alignment/>
      <protection/>
    </xf>
    <xf numFmtId="182" fontId="16" fillId="0" borderId="0" xfId="43" applyNumberFormat="1" applyFont="1" applyFill="1" applyBorder="1" applyAlignment="1" applyProtection="1">
      <alignment/>
      <protection/>
    </xf>
    <xf numFmtId="182" fontId="16" fillId="0" borderId="0" xfId="43" applyNumberFormat="1" applyFont="1" applyFill="1" applyBorder="1" applyAlignment="1" applyProtection="1">
      <alignment horizontal="center"/>
      <protection/>
    </xf>
    <xf numFmtId="182" fontId="18" fillId="0" borderId="0" xfId="15" applyNumberFormat="1" applyFont="1" applyBorder="1" applyAlignment="1">
      <alignment horizontal="left"/>
      <protection/>
    </xf>
    <xf numFmtId="0" fontId="18" fillId="0" borderId="0" xfId="15" applyNumberFormat="1" applyFont="1" applyBorder="1" applyAlignment="1">
      <alignment horizontal="left"/>
      <protection/>
    </xf>
    <xf numFmtId="182" fontId="18" fillId="0" borderId="0" xfId="15" applyNumberFormat="1" applyFont="1" applyBorder="1">
      <alignment/>
      <protection/>
    </xf>
    <xf numFmtId="182" fontId="18" fillId="0" borderId="0" xfId="43" applyNumberFormat="1" applyFont="1" applyFill="1" applyBorder="1" applyAlignment="1" applyProtection="1">
      <alignment/>
      <protection/>
    </xf>
    <xf numFmtId="180" fontId="14" fillId="0" borderId="0" xfId="43" applyNumberFormat="1" applyFont="1" applyFill="1" applyBorder="1" applyAlignment="1" applyProtection="1">
      <alignment horizontal="right"/>
      <protection/>
    </xf>
    <xf numFmtId="182" fontId="18" fillId="0" borderId="0" xfId="43" applyNumberFormat="1" applyFont="1" applyFill="1" applyBorder="1" applyAlignment="1" applyProtection="1">
      <alignment horizontal="right"/>
      <protection/>
    </xf>
    <xf numFmtId="182" fontId="3" fillId="0" borderId="0" xfId="15" applyNumberFormat="1" applyFont="1" applyAlignment="1">
      <alignment horizontal="left"/>
      <protection/>
    </xf>
    <xf numFmtId="0" fontId="3" fillId="0" borderId="0" xfId="15" applyNumberFormat="1" applyFont="1" applyAlignment="1">
      <alignment horizontal="left"/>
      <protection/>
    </xf>
    <xf numFmtId="182" fontId="3" fillId="0" borderId="0" xfId="43" applyNumberFormat="1" applyFont="1" applyFill="1" applyBorder="1" applyAlignment="1" applyProtection="1">
      <alignment/>
      <protection/>
    </xf>
    <xf numFmtId="182" fontId="45" fillId="0" borderId="0" xfId="15" applyNumberFormat="1" applyFont="1">
      <alignment/>
      <protection/>
    </xf>
    <xf numFmtId="182" fontId="33" fillId="0" borderId="0" xfId="15" applyNumberFormat="1" applyFont="1" applyAlignment="1">
      <alignment horizontal="left"/>
      <protection/>
    </xf>
    <xf numFmtId="0" fontId="45" fillId="0" borderId="0" xfId="15" applyNumberFormat="1" applyFont="1" applyAlignment="1">
      <alignment horizontal="left"/>
      <protection/>
    </xf>
    <xf numFmtId="0" fontId="33" fillId="0" borderId="0" xfId="15" applyNumberFormat="1" applyFont="1" applyAlignment="1">
      <alignment/>
      <protection/>
    </xf>
    <xf numFmtId="182" fontId="33" fillId="0" borderId="0" xfId="43" applyNumberFormat="1" applyFont="1" applyFill="1" applyBorder="1" applyAlignment="1" applyProtection="1">
      <alignment horizontal="center"/>
      <protection/>
    </xf>
    <xf numFmtId="182" fontId="32" fillId="0" borderId="0" xfId="15" applyNumberFormat="1" applyFont="1" applyAlignment="1">
      <alignment horizontal="left"/>
      <protection/>
    </xf>
    <xf numFmtId="182" fontId="32" fillId="0" borderId="0" xfId="43" applyNumberFormat="1" applyFont="1" applyFill="1" applyBorder="1" applyAlignment="1" applyProtection="1">
      <alignment/>
      <protection/>
    </xf>
    <xf numFmtId="180" fontId="14" fillId="0" borderId="0" xfId="43" applyNumberFormat="1" applyFont="1" applyFill="1" applyAlignment="1">
      <alignment horizontal="right"/>
    </xf>
    <xf numFmtId="182" fontId="30" fillId="33" borderId="0" xfId="58" applyNumberFormat="1" applyFont="1" applyFill="1" applyAlignment="1">
      <alignment horizontal="right"/>
      <protection/>
    </xf>
    <xf numFmtId="0" fontId="2" fillId="0" borderId="0" xfId="15" applyNumberFormat="1" applyFont="1" applyFill="1" applyAlignment="1">
      <alignment horizontal="left"/>
      <protection/>
    </xf>
    <xf numFmtId="0" fontId="3" fillId="0" borderId="0" xfId="15" applyNumberFormat="1" applyFont="1" applyFill="1" applyAlignment="1">
      <alignment horizontal="center"/>
      <protection/>
    </xf>
    <xf numFmtId="182" fontId="30" fillId="0" borderId="0" xfId="15" applyNumberFormat="1" applyFont="1" applyFill="1">
      <alignment/>
      <protection/>
    </xf>
    <xf numFmtId="0" fontId="30" fillId="0" borderId="0" xfId="15" applyNumberFormat="1" applyFont="1" applyFill="1" applyAlignment="1">
      <alignment horizontal="center"/>
      <protection/>
    </xf>
    <xf numFmtId="0" fontId="30" fillId="0" borderId="0" xfId="15" applyNumberFormat="1" applyFont="1" applyFill="1">
      <alignment/>
      <protection/>
    </xf>
    <xf numFmtId="0" fontId="35" fillId="0" borderId="0" xfId="15" applyFont="1" applyFill="1">
      <alignment/>
      <protection/>
    </xf>
    <xf numFmtId="0" fontId="30" fillId="0" borderId="0" xfId="0" applyFont="1" applyFill="1" applyAlignment="1">
      <alignment/>
    </xf>
    <xf numFmtId="0" fontId="34" fillId="0" borderId="0" xfId="57" applyFont="1" applyFill="1" applyAlignment="1">
      <alignment horizontal="left"/>
      <protection/>
    </xf>
    <xf numFmtId="0" fontId="30" fillId="0" borderId="0" xfId="57" applyFont="1" applyFill="1" applyAlignment="1">
      <alignment/>
      <protection/>
    </xf>
    <xf numFmtId="0" fontId="9" fillId="0" borderId="13" xfId="15" applyFont="1" applyFill="1" applyBorder="1" applyAlignment="1">
      <alignment horizontal="left"/>
      <protection/>
    </xf>
    <xf numFmtId="0" fontId="30" fillId="0" borderId="13" xfId="15" applyFont="1" applyFill="1" applyBorder="1" applyAlignment="1">
      <alignment/>
      <protection/>
    </xf>
    <xf numFmtId="181" fontId="30" fillId="0" borderId="13" xfId="43" applyNumberFormat="1" applyFont="1" applyFill="1" applyBorder="1" applyAlignment="1" applyProtection="1">
      <alignment horizontal="right"/>
      <protection/>
    </xf>
    <xf numFmtId="0" fontId="31" fillId="0" borderId="13" xfId="15" applyNumberFormat="1" applyFont="1" applyFill="1" applyBorder="1" applyAlignment="1">
      <alignment horizontal="right"/>
      <protection/>
    </xf>
    <xf numFmtId="0" fontId="30" fillId="0" borderId="0" xfId="15" applyFont="1" applyFill="1" applyAlignment="1">
      <alignment horizontal="right"/>
      <protection/>
    </xf>
    <xf numFmtId="0" fontId="30" fillId="0" borderId="0" xfId="15" applyFont="1" applyFill="1" applyAlignment="1">
      <alignment/>
      <protection/>
    </xf>
    <xf numFmtId="181" fontId="30" fillId="0" borderId="0" xfId="43" applyNumberFormat="1" applyFont="1" applyFill="1" applyBorder="1" applyAlignment="1" applyProtection="1">
      <alignment horizontal="right"/>
      <protection/>
    </xf>
    <xf numFmtId="0" fontId="2" fillId="0" borderId="0" xfId="15" applyFont="1" applyFill="1" applyAlignment="1">
      <alignment horizontal="right"/>
      <protection/>
    </xf>
    <xf numFmtId="0" fontId="2" fillId="0" borderId="0" xfId="15" applyFont="1" applyFill="1" applyAlignment="1">
      <alignment/>
      <protection/>
    </xf>
    <xf numFmtId="181" fontId="2" fillId="0" borderId="0" xfId="43" applyNumberFormat="1" applyFont="1" applyFill="1" applyBorder="1" applyAlignment="1" applyProtection="1">
      <alignment horizontal="right"/>
      <protection/>
    </xf>
    <xf numFmtId="0" fontId="3" fillId="0" borderId="0" xfId="15" applyFont="1" applyFill="1">
      <alignment/>
      <protection/>
    </xf>
    <xf numFmtId="0" fontId="3" fillId="0" borderId="0" xfId="0" applyFont="1" applyFill="1" applyAlignment="1">
      <alignment/>
    </xf>
    <xf numFmtId="0" fontId="10" fillId="0" borderId="0" xfId="15" applyFont="1" applyFill="1">
      <alignment/>
      <protection/>
    </xf>
    <xf numFmtId="0" fontId="3" fillId="0" borderId="0" xfId="15" applyFont="1" applyFill="1" applyAlignment="1">
      <alignment/>
      <protection/>
    </xf>
    <xf numFmtId="181" fontId="3" fillId="0" borderId="0" xfId="43" applyNumberFormat="1" applyFont="1" applyFill="1" applyBorder="1" applyAlignment="1" applyProtection="1">
      <alignment horizontal="right"/>
      <protection/>
    </xf>
    <xf numFmtId="0" fontId="3" fillId="0" borderId="0" xfId="15" applyFont="1" applyFill="1" applyAlignment="1">
      <alignment horizontal="justify" wrapText="1"/>
      <protection/>
    </xf>
    <xf numFmtId="0" fontId="3" fillId="0" borderId="0" xfId="0" applyFont="1" applyFill="1" applyAlignment="1">
      <alignment/>
    </xf>
    <xf numFmtId="0" fontId="8" fillId="0" borderId="0" xfId="15" applyFont="1" applyFill="1" applyAlignment="1">
      <alignment/>
      <protection/>
    </xf>
    <xf numFmtId="0" fontId="2" fillId="0" borderId="0" xfId="15" applyFont="1" applyFill="1" applyAlignment="1">
      <alignment vertical="top"/>
      <protection/>
    </xf>
    <xf numFmtId="0" fontId="3" fillId="0" borderId="0" xfId="15" applyFont="1" applyFill="1" applyAlignment="1">
      <alignment vertical="top" wrapText="1"/>
      <protection/>
    </xf>
    <xf numFmtId="0" fontId="3" fillId="0" borderId="0" xfId="0" applyFont="1" applyFill="1" applyAlignment="1">
      <alignment vertical="top"/>
    </xf>
    <xf numFmtId="0" fontId="2" fillId="0" borderId="0" xfId="15" applyFont="1" applyFill="1" applyAlignment="1">
      <alignment horizontal="right" vertical="top"/>
      <protection/>
    </xf>
    <xf numFmtId="0" fontId="3" fillId="0" borderId="0" xfId="15" applyFont="1" applyFill="1" applyAlignment="1">
      <alignment vertical="top"/>
      <protection/>
    </xf>
    <xf numFmtId="0" fontId="2" fillId="0" borderId="0" xfId="15" applyFont="1" applyFill="1" applyAlignment="1" quotePrefix="1">
      <alignment horizontal="right"/>
      <protection/>
    </xf>
    <xf numFmtId="0" fontId="3" fillId="0" borderId="0" xfId="15" applyFont="1" applyFill="1" applyAlignment="1">
      <alignment horizontal="right"/>
      <protection/>
    </xf>
    <xf numFmtId="0" fontId="40" fillId="0" borderId="0" xfId="58" applyFont="1" applyFill="1" applyBorder="1" applyAlignment="1" quotePrefix="1">
      <alignment horizontal="justify" wrapText="1"/>
      <protection/>
    </xf>
    <xf numFmtId="0" fontId="40" fillId="0" borderId="0" xfId="58" applyFont="1" applyFill="1" applyBorder="1" applyAlignment="1">
      <alignment horizontal="justify" wrapText="1"/>
      <protection/>
    </xf>
    <xf numFmtId="0" fontId="10" fillId="0" borderId="0" xfId="15" applyFont="1" applyFill="1" applyAlignment="1">
      <alignment/>
      <protection/>
    </xf>
    <xf numFmtId="0" fontId="109" fillId="0" borderId="0" xfId="15" applyFont="1" applyFill="1" applyAlignment="1">
      <alignment/>
      <protection/>
    </xf>
    <xf numFmtId="181" fontId="2" fillId="0" borderId="0" xfId="43" applyNumberFormat="1" applyFont="1" applyFill="1" applyBorder="1" applyAlignment="1" applyProtection="1">
      <alignment horizontal="left"/>
      <protection/>
    </xf>
    <xf numFmtId="0" fontId="3" fillId="0" borderId="0" xfId="15" applyFont="1" applyFill="1" applyBorder="1" applyAlignment="1">
      <alignment horizontal="justify"/>
      <protection/>
    </xf>
    <xf numFmtId="0" fontId="3" fillId="0" borderId="0" xfId="15" applyFont="1" applyFill="1" quotePrefix="1">
      <alignment/>
      <protection/>
    </xf>
    <xf numFmtId="0" fontId="3" fillId="0" borderId="0" xfId="15" applyFont="1" applyFill="1" applyAlignment="1">
      <alignment wrapText="1"/>
      <protection/>
    </xf>
    <xf numFmtId="0" fontId="2" fillId="0" borderId="0" xfId="15" applyFont="1" applyAlignment="1">
      <alignment horizontal="right"/>
      <protection/>
    </xf>
    <xf numFmtId="0" fontId="40" fillId="0" borderId="0" xfId="15" applyNumberFormat="1" applyFont="1" applyFill="1" applyAlignment="1">
      <alignment horizontal="justify" wrapText="1"/>
      <protection/>
    </xf>
    <xf numFmtId="0" fontId="2" fillId="0" borderId="0" xfId="15" applyFont="1" applyAlignment="1">
      <alignment/>
      <protection/>
    </xf>
    <xf numFmtId="0" fontId="11" fillId="0" borderId="0" xfId="15" applyFont="1" applyAlignment="1">
      <alignment wrapText="1"/>
      <protection/>
    </xf>
    <xf numFmtId="0" fontId="0" fillId="0" borderId="0" xfId="15" applyFont="1" applyBorder="1" applyAlignment="1" quotePrefix="1">
      <alignment/>
      <protection/>
    </xf>
    <xf numFmtId="0" fontId="0" fillId="0" borderId="0" xfId="15" applyFont="1" applyBorder="1" applyAlignment="1">
      <alignment/>
      <protection/>
    </xf>
    <xf numFmtId="0" fontId="2" fillId="0" borderId="0" xfId="15" applyFont="1" applyFill="1" applyBorder="1" applyAlignment="1">
      <alignment horizontal="justify"/>
      <protection/>
    </xf>
    <xf numFmtId="0" fontId="3" fillId="0" borderId="0" xfId="15" applyFont="1" applyFill="1" applyAlignment="1">
      <alignment horizontal="right" vertical="center"/>
      <protection/>
    </xf>
    <xf numFmtId="0" fontId="3" fillId="0" borderId="0" xfId="15" applyFont="1" applyFill="1" applyBorder="1" applyAlignment="1">
      <alignment/>
      <protection/>
    </xf>
    <xf numFmtId="0" fontId="2" fillId="0" borderId="0" xfId="15" applyFont="1" applyFill="1" applyBorder="1" applyAlignment="1">
      <alignment horizontal="left"/>
      <protection/>
    </xf>
    <xf numFmtId="0" fontId="2" fillId="0" borderId="0" xfId="15" applyFont="1" applyFill="1" applyAlignment="1" quotePrefix="1">
      <alignment horizontal="right" vertical="center"/>
      <protection/>
    </xf>
    <xf numFmtId="0" fontId="2" fillId="0" borderId="0" xfId="15" applyFont="1" applyFill="1" applyAlignment="1" quotePrefix="1">
      <alignment horizontal="right" vertical="top"/>
      <protection/>
    </xf>
    <xf numFmtId="0" fontId="9" fillId="0" borderId="0" xfId="15" applyFont="1" applyFill="1" applyAlignment="1">
      <alignment horizontal="right"/>
      <protection/>
    </xf>
    <xf numFmtId="0" fontId="9" fillId="0" borderId="0" xfId="15" applyFont="1" applyFill="1">
      <alignment/>
      <protection/>
    </xf>
    <xf numFmtId="0" fontId="9" fillId="0" borderId="0" xfId="0" applyFont="1" applyFill="1" applyAlignment="1">
      <alignment/>
    </xf>
    <xf numFmtId="0" fontId="3" fillId="0" borderId="0" xfId="15" applyFont="1" applyFill="1" applyAlignment="1" quotePrefix="1">
      <alignment/>
      <protection/>
    </xf>
    <xf numFmtId="0" fontId="8" fillId="0" borderId="0" xfId="15" applyFont="1" applyFill="1" applyAlignment="1">
      <alignment horizontal="right" vertical="center"/>
      <protection/>
    </xf>
    <xf numFmtId="0" fontId="8" fillId="0" borderId="0" xfId="15" applyFont="1" applyFill="1" applyAlignment="1">
      <alignment vertical="center"/>
      <protection/>
    </xf>
    <xf numFmtId="181" fontId="8" fillId="0" borderId="0" xfId="43" applyNumberFormat="1" applyFont="1" applyFill="1" applyBorder="1" applyAlignment="1" applyProtection="1">
      <alignment horizontal="right" vertical="center"/>
      <protection/>
    </xf>
    <xf numFmtId="0" fontId="3" fillId="0" borderId="0" xfId="15" applyFont="1" applyFill="1" applyAlignment="1" quotePrefix="1">
      <alignment vertical="center"/>
      <protection/>
    </xf>
    <xf numFmtId="0" fontId="2" fillId="0" borderId="0" xfId="15" applyFont="1" applyFill="1" applyAlignment="1">
      <alignment vertical="center"/>
      <protection/>
    </xf>
    <xf numFmtId="0" fontId="9" fillId="0" borderId="0" xfId="15" applyFont="1" applyFill="1" applyAlignment="1">
      <alignment/>
      <protection/>
    </xf>
    <xf numFmtId="0" fontId="9" fillId="0" borderId="0" xfId="15" applyFont="1" applyFill="1" applyAlignment="1" quotePrefix="1">
      <alignment horizontal="right"/>
      <protection/>
    </xf>
    <xf numFmtId="181" fontId="9" fillId="0" borderId="0" xfId="43" applyNumberFormat="1" applyFont="1" applyFill="1" applyBorder="1" applyAlignment="1" applyProtection="1">
      <alignment horizontal="right"/>
      <protection/>
    </xf>
    <xf numFmtId="0" fontId="9" fillId="0" borderId="0" xfId="15" applyFont="1" applyFill="1" quotePrefix="1">
      <alignment/>
      <protection/>
    </xf>
    <xf numFmtId="0" fontId="8" fillId="0" borderId="0" xfId="15" applyFont="1" applyFill="1" applyAlignment="1">
      <alignment horizontal="right"/>
      <protection/>
    </xf>
    <xf numFmtId="181" fontId="8" fillId="0" borderId="0" xfId="43" applyNumberFormat="1" applyFont="1" applyFill="1" applyBorder="1" applyAlignment="1" applyProtection="1">
      <alignment horizontal="right"/>
      <protection/>
    </xf>
    <xf numFmtId="0" fontId="2" fillId="0" borderId="0" xfId="15" applyFont="1" applyFill="1">
      <alignment/>
      <protection/>
    </xf>
    <xf numFmtId="0" fontId="3" fillId="0" borderId="0" xfId="15" applyFont="1" applyFill="1" applyAlignment="1">
      <alignment horizontal="justify"/>
      <protection/>
    </xf>
    <xf numFmtId="0" fontId="2" fillId="0" borderId="0" xfId="15" applyFont="1" applyFill="1" applyBorder="1" applyAlignment="1">
      <alignment/>
      <protection/>
    </xf>
    <xf numFmtId="0" fontId="2" fillId="0" borderId="0" xfId="15" applyFont="1" applyFill="1" applyAlignment="1" quotePrefix="1">
      <alignment/>
      <protection/>
    </xf>
    <xf numFmtId="0" fontId="3" fillId="0" borderId="0" xfId="15" applyFont="1" applyFill="1" applyBorder="1" applyAlignment="1">
      <alignment horizontal="left"/>
      <protection/>
    </xf>
    <xf numFmtId="0" fontId="3" fillId="0" borderId="0" xfId="15" applyFont="1" applyFill="1" applyBorder="1" applyAlignment="1" quotePrefix="1">
      <alignment horizontal="justify"/>
      <protection/>
    </xf>
    <xf numFmtId="0" fontId="2" fillId="0" borderId="0" xfId="15" applyFont="1" applyFill="1" applyBorder="1" applyAlignment="1">
      <alignment vertical="center"/>
      <protection/>
    </xf>
    <xf numFmtId="0" fontId="2" fillId="0" borderId="0" xfId="0" applyFont="1" applyFill="1" applyAlignment="1">
      <alignment vertical="center"/>
    </xf>
    <xf numFmtId="0" fontId="3" fillId="0" borderId="0" xfId="15" applyFont="1" applyFill="1" applyBorder="1" applyAlignment="1">
      <alignment horizontal="justify" vertical="top"/>
      <protection/>
    </xf>
    <xf numFmtId="0" fontId="3" fillId="0" borderId="0" xfId="15" applyFont="1" applyFill="1" applyBorder="1" applyAlignment="1">
      <alignment vertical="top"/>
      <protection/>
    </xf>
    <xf numFmtId="14" fontId="2" fillId="0" borderId="0" xfId="43" applyNumberFormat="1" applyFont="1" applyFill="1" applyBorder="1" applyAlignment="1" applyProtection="1">
      <alignment horizontal="right"/>
      <protection/>
    </xf>
    <xf numFmtId="0" fontId="110" fillId="0" borderId="0" xfId="15" applyFont="1" applyFill="1" applyAlignment="1">
      <alignment horizontal="center"/>
      <protection/>
    </xf>
    <xf numFmtId="180" fontId="51" fillId="0" borderId="0" xfId="43" applyNumberFormat="1" applyFont="1" applyFill="1" applyBorder="1" applyAlignment="1" applyProtection="1">
      <alignment horizontal="right"/>
      <protection/>
    </xf>
    <xf numFmtId="181" fontId="44" fillId="0" borderId="0" xfId="43" applyNumberFormat="1" applyFont="1" applyFill="1" applyBorder="1" applyAlignment="1" applyProtection="1">
      <alignment horizontal="right"/>
      <protection/>
    </xf>
    <xf numFmtId="180" fontId="40" fillId="0" borderId="0" xfId="0" applyNumberFormat="1" applyFont="1" applyFill="1" applyAlignment="1">
      <alignment/>
    </xf>
    <xf numFmtId="181" fontId="52" fillId="0" borderId="0" xfId="43" applyNumberFormat="1" applyFont="1" applyFill="1" applyBorder="1" applyAlignment="1" applyProtection="1">
      <alignment horizontal="right"/>
      <protection/>
    </xf>
    <xf numFmtId="181" fontId="32" fillId="0" borderId="15" xfId="43" applyNumberFormat="1" applyFont="1" applyFill="1" applyBorder="1" applyAlignment="1" applyProtection="1">
      <alignment horizontal="right"/>
      <protection/>
    </xf>
    <xf numFmtId="180" fontId="32" fillId="0" borderId="0" xfId="43" applyNumberFormat="1" applyFont="1" applyFill="1" applyBorder="1" applyAlignment="1" applyProtection="1">
      <alignment horizontal="right"/>
      <protection/>
    </xf>
    <xf numFmtId="180" fontId="14" fillId="0" borderId="0" xfId="43" applyNumberFormat="1" applyFont="1" applyFill="1" applyAlignment="1">
      <alignment/>
    </xf>
    <xf numFmtId="181" fontId="3" fillId="0" borderId="0" xfId="15" applyNumberFormat="1" applyFont="1" applyFill="1">
      <alignment/>
      <protection/>
    </xf>
    <xf numFmtId="181" fontId="31" fillId="0" borderId="0" xfId="43" applyNumberFormat="1" applyFont="1" applyFill="1" applyBorder="1" applyAlignment="1" applyProtection="1">
      <alignment horizontal="right"/>
      <protection/>
    </xf>
    <xf numFmtId="181" fontId="2" fillId="0" borderId="13" xfId="43" applyNumberFormat="1" applyFont="1" applyFill="1" applyBorder="1" applyAlignment="1" applyProtection="1">
      <alignment horizontal="center"/>
      <protection/>
    </xf>
    <xf numFmtId="181" fontId="2" fillId="0" borderId="0" xfId="43" applyNumberFormat="1" applyFont="1" applyFill="1" applyBorder="1" applyAlignment="1" applyProtection="1">
      <alignment horizontal="center"/>
      <protection/>
    </xf>
    <xf numFmtId="0" fontId="9" fillId="0" borderId="0" xfId="15" applyFont="1" applyFill="1" applyAlignment="1">
      <alignment horizontal="center"/>
      <protection/>
    </xf>
    <xf numFmtId="181" fontId="32" fillId="0" borderId="16" xfId="43" applyNumberFormat="1" applyFont="1" applyFill="1" applyBorder="1" applyAlignment="1" applyProtection="1">
      <alignment horizontal="center"/>
      <protection/>
    </xf>
    <xf numFmtId="181" fontId="32" fillId="0" borderId="0" xfId="43" applyNumberFormat="1" applyFont="1" applyFill="1" applyBorder="1" applyAlignment="1" applyProtection="1">
      <alignment horizontal="center"/>
      <protection/>
    </xf>
    <xf numFmtId="0" fontId="3" fillId="0" borderId="0" xfId="15" applyFont="1" applyFill="1" applyAlignment="1">
      <alignment horizontal="left"/>
      <protection/>
    </xf>
    <xf numFmtId="0" fontId="9" fillId="0" borderId="0" xfId="15" applyFont="1" applyFill="1" applyAlignment="1">
      <alignment horizontal="left"/>
      <protection/>
    </xf>
    <xf numFmtId="181" fontId="2" fillId="0" borderId="15" xfId="43" applyNumberFormat="1" applyFont="1" applyFill="1" applyBorder="1" applyAlignment="1" applyProtection="1">
      <alignment horizontal="right"/>
      <protection/>
    </xf>
    <xf numFmtId="0" fontId="3" fillId="0" borderId="0" xfId="15" applyFont="1" applyFill="1" applyAlignment="1" quotePrefix="1">
      <alignment horizontal="right"/>
      <protection/>
    </xf>
    <xf numFmtId="14" fontId="32" fillId="0" borderId="0" xfId="43" applyNumberFormat="1" applyFont="1" applyFill="1" applyBorder="1" applyAlignment="1" applyProtection="1">
      <alignment horizontal="right"/>
      <protection/>
    </xf>
    <xf numFmtId="181" fontId="32" fillId="0" borderId="17" xfId="43" applyNumberFormat="1" applyFont="1" applyFill="1" applyBorder="1" applyAlignment="1" applyProtection="1">
      <alignment horizontal="right"/>
      <protection/>
    </xf>
    <xf numFmtId="180" fontId="30" fillId="0" borderId="0" xfId="43" applyNumberFormat="1" applyFont="1" applyFill="1" applyBorder="1" applyAlignment="1" applyProtection="1">
      <alignment horizontal="right"/>
      <protection/>
    </xf>
    <xf numFmtId="181" fontId="2" fillId="0" borderId="0" xfId="15" applyNumberFormat="1" applyFont="1" applyFill="1">
      <alignment/>
      <protection/>
    </xf>
    <xf numFmtId="0" fontId="3" fillId="0" borderId="0" xfId="15" applyFont="1" applyFill="1" applyAlignment="1">
      <alignment horizontal="left" indent="1"/>
      <protection/>
    </xf>
    <xf numFmtId="181" fontId="110" fillId="0" borderId="0" xfId="0" applyNumberFormat="1" applyFont="1" applyFill="1" applyAlignment="1">
      <alignment/>
    </xf>
    <xf numFmtId="181" fontId="10" fillId="0" borderId="0" xfId="0" applyNumberFormat="1" applyFont="1" applyFill="1" applyAlignment="1">
      <alignment/>
    </xf>
    <xf numFmtId="0" fontId="10" fillId="0" borderId="0" xfId="0" applyFont="1" applyFill="1" applyAlignment="1">
      <alignment/>
    </xf>
    <xf numFmtId="0" fontId="9" fillId="0" borderId="0" xfId="0" applyFont="1" applyFill="1" applyAlignment="1">
      <alignment/>
    </xf>
    <xf numFmtId="181" fontId="53" fillId="0" borderId="0" xfId="43" applyNumberFormat="1" applyFont="1" applyFill="1" applyBorder="1" applyAlignment="1" applyProtection="1">
      <alignment horizontal="right"/>
      <protection/>
    </xf>
    <xf numFmtId="0" fontId="3" fillId="0" borderId="0" xfId="15" applyFont="1" applyFill="1" applyAlignment="1">
      <alignment horizontal="center"/>
      <protection/>
    </xf>
    <xf numFmtId="181" fontId="44" fillId="0" borderId="0" xfId="43" applyNumberFormat="1" applyFont="1" applyFill="1" applyAlignment="1">
      <alignment/>
    </xf>
    <xf numFmtId="181" fontId="30" fillId="0" borderId="0" xfId="43" applyNumberFormat="1" applyFont="1" applyFill="1" applyAlignment="1">
      <alignment/>
    </xf>
    <xf numFmtId="0" fontId="2" fillId="0" borderId="0" xfId="15" applyFont="1" applyFill="1" applyAlignment="1" quotePrefix="1">
      <alignment horizontal="right" wrapText="1"/>
      <protection/>
    </xf>
    <xf numFmtId="0" fontId="2" fillId="0" borderId="0" xfId="15" applyFont="1" applyFill="1" applyAlignment="1">
      <alignment horizontal="left"/>
      <protection/>
    </xf>
    <xf numFmtId="0" fontId="2" fillId="0" borderId="18" xfId="15" applyFont="1" applyFill="1" applyBorder="1" applyAlignment="1">
      <alignment/>
      <protection/>
    </xf>
    <xf numFmtId="0" fontId="2" fillId="0" borderId="18" xfId="43" applyNumberFormat="1" applyFont="1" applyFill="1" applyBorder="1" applyAlignment="1" applyProtection="1">
      <alignment horizontal="center" wrapText="1"/>
      <protection/>
    </xf>
    <xf numFmtId="0" fontId="2" fillId="0" borderId="0" xfId="43" applyNumberFormat="1" applyFont="1" applyFill="1" applyBorder="1" applyAlignment="1" applyProtection="1">
      <alignment horizontal="center" wrapText="1"/>
      <protection/>
    </xf>
    <xf numFmtId="0" fontId="2" fillId="0" borderId="18" xfId="43" applyNumberFormat="1" applyFont="1" applyFill="1" applyBorder="1" applyAlignment="1" applyProtection="1">
      <alignment horizontal="center" vertical="center" wrapText="1"/>
      <protection/>
    </xf>
    <xf numFmtId="0" fontId="3" fillId="0" borderId="0" xfId="43" applyNumberFormat="1" applyFont="1" applyFill="1" applyBorder="1" applyAlignment="1" applyProtection="1">
      <alignment wrapText="1"/>
      <protection/>
    </xf>
    <xf numFmtId="181" fontId="3" fillId="0" borderId="0" xfId="43" applyNumberFormat="1" applyFont="1" applyFill="1" applyBorder="1" applyAlignment="1" applyProtection="1">
      <alignment/>
      <protection/>
    </xf>
    <xf numFmtId="181" fontId="3" fillId="0" borderId="0" xfId="43" applyNumberFormat="1" applyFont="1" applyFill="1" applyBorder="1" applyAlignment="1" applyProtection="1">
      <alignment horizontal="right" wrapText="1"/>
      <protection/>
    </xf>
    <xf numFmtId="185" fontId="2" fillId="0" borderId="0" xfId="43" applyNumberFormat="1" applyFont="1" applyFill="1" applyBorder="1" applyAlignment="1" applyProtection="1">
      <alignment horizontal="right" wrapText="1"/>
      <protection/>
    </xf>
    <xf numFmtId="181" fontId="3" fillId="0" borderId="0" xfId="43" applyNumberFormat="1" applyFont="1" applyFill="1" applyBorder="1" applyAlignment="1" applyProtection="1">
      <alignment wrapText="1"/>
      <protection/>
    </xf>
    <xf numFmtId="181" fontId="9" fillId="0" borderId="0" xfId="43" applyNumberFormat="1" applyFont="1" applyFill="1" applyBorder="1" applyAlignment="1" applyProtection="1">
      <alignment wrapText="1"/>
      <protection/>
    </xf>
    <xf numFmtId="181" fontId="9" fillId="0" borderId="0" xfId="43" applyNumberFormat="1" applyFont="1" applyFill="1" applyBorder="1" applyAlignment="1" applyProtection="1">
      <alignment/>
      <protection/>
    </xf>
    <xf numFmtId="181" fontId="9" fillId="0" borderId="0" xfId="43" applyNumberFormat="1" applyFont="1" applyFill="1" applyBorder="1" applyAlignment="1" applyProtection="1">
      <alignment horizontal="right" wrapText="1"/>
      <protection/>
    </xf>
    <xf numFmtId="0" fontId="9" fillId="0" borderId="0" xfId="15" applyFont="1" applyFill="1" applyBorder="1" applyAlignment="1">
      <alignment/>
      <protection/>
    </xf>
    <xf numFmtId="0" fontId="3" fillId="0" borderId="18" xfId="15" applyFont="1" applyFill="1" applyBorder="1" applyAlignment="1">
      <alignment/>
      <protection/>
    </xf>
    <xf numFmtId="181" fontId="3" fillId="0" borderId="18" xfId="43" applyNumberFormat="1" applyFont="1" applyFill="1" applyBorder="1" applyAlignment="1" applyProtection="1">
      <alignment wrapText="1"/>
      <protection/>
    </xf>
    <xf numFmtId="181" fontId="2" fillId="0" borderId="13" xfId="43" applyNumberFormat="1" applyFont="1" applyFill="1" applyBorder="1" applyAlignment="1" applyProtection="1">
      <alignment horizontal="right"/>
      <protection/>
    </xf>
    <xf numFmtId="181" fontId="3" fillId="0" borderId="0" xfId="43" applyNumberFormat="1" applyFont="1" applyFill="1" applyBorder="1" applyAlignment="1" applyProtection="1">
      <alignment horizontal="center"/>
      <protection/>
    </xf>
    <xf numFmtId="185" fontId="2" fillId="0" borderId="0" xfId="43" applyNumberFormat="1" applyFont="1" applyFill="1" applyBorder="1" applyAlignment="1" applyProtection="1">
      <alignment horizontal="right"/>
      <protection/>
    </xf>
    <xf numFmtId="181" fontId="9" fillId="0" borderId="0" xfId="43" applyNumberFormat="1" applyFont="1" applyFill="1" applyBorder="1" applyAlignment="1" applyProtection="1">
      <alignment horizontal="center"/>
      <protection/>
    </xf>
    <xf numFmtId="181" fontId="3" fillId="0" borderId="18" xfId="43" applyNumberFormat="1" applyFont="1" applyFill="1" applyBorder="1" applyAlignment="1" applyProtection="1">
      <alignment horizontal="center"/>
      <protection/>
    </xf>
    <xf numFmtId="185" fontId="2" fillId="0" borderId="13" xfId="43" applyNumberFormat="1" applyFont="1" applyFill="1" applyBorder="1" applyAlignment="1" applyProtection="1">
      <alignment horizontal="right"/>
      <protection/>
    </xf>
    <xf numFmtId="0" fontId="3" fillId="0" borderId="14" xfId="15" applyFont="1" applyFill="1" applyBorder="1" applyAlignment="1">
      <alignment/>
      <protection/>
    </xf>
    <xf numFmtId="181" fontId="3" fillId="0" borderId="14" xfId="43" applyNumberFormat="1" applyFont="1" applyFill="1" applyBorder="1" applyAlignment="1" applyProtection="1">
      <alignment horizontal="center"/>
      <protection/>
    </xf>
    <xf numFmtId="185" fontId="2" fillId="0" borderId="19" xfId="43" applyNumberFormat="1" applyFont="1" applyFill="1" applyBorder="1" applyAlignment="1" applyProtection="1">
      <alignment horizontal="right"/>
      <protection/>
    </xf>
    <xf numFmtId="0" fontId="3" fillId="0" borderId="0" xfId="15" applyFont="1" applyFill="1" applyBorder="1" applyAlignment="1">
      <alignment wrapText="1"/>
      <protection/>
    </xf>
    <xf numFmtId="181" fontId="2" fillId="0" borderId="0" xfId="43" applyNumberFormat="1" applyFont="1" applyFill="1" applyBorder="1" applyAlignment="1" applyProtection="1">
      <alignment horizontal="right" wrapText="1"/>
      <protection/>
    </xf>
    <xf numFmtId="181" fontId="2" fillId="0" borderId="0" xfId="43" applyNumberFormat="1" applyFont="1" applyFill="1" applyBorder="1" applyAlignment="1" applyProtection="1">
      <alignment/>
      <protection/>
    </xf>
    <xf numFmtId="181" fontId="3" fillId="0" borderId="18" xfId="43" applyNumberFormat="1" applyFont="1" applyFill="1" applyBorder="1" applyAlignment="1" applyProtection="1">
      <alignment horizontal="right"/>
      <protection/>
    </xf>
    <xf numFmtId="181" fontId="3" fillId="0" borderId="0" xfId="43" applyNumberFormat="1" applyFont="1" applyFill="1" applyBorder="1" applyAlignment="1" applyProtection="1">
      <alignment horizontal="left"/>
      <protection/>
    </xf>
    <xf numFmtId="0" fontId="3" fillId="0" borderId="19" xfId="15" applyFont="1" applyFill="1" applyBorder="1" applyAlignment="1">
      <alignment/>
      <protection/>
    </xf>
    <xf numFmtId="181" fontId="3" fillId="0" borderId="14" xfId="43" applyNumberFormat="1" applyFont="1" applyFill="1" applyBorder="1" applyAlignment="1" applyProtection="1">
      <alignment horizontal="left"/>
      <protection/>
    </xf>
    <xf numFmtId="181" fontId="3" fillId="0" borderId="14" xfId="43" applyNumberFormat="1" applyFont="1" applyFill="1" applyBorder="1" applyAlignment="1" applyProtection="1">
      <alignment horizontal="right"/>
      <protection/>
    </xf>
    <xf numFmtId="181" fontId="2" fillId="0" borderId="14" xfId="43" applyNumberFormat="1" applyFont="1" applyFill="1" applyBorder="1" applyAlignment="1" applyProtection="1">
      <alignment horizontal="right"/>
      <protection/>
    </xf>
    <xf numFmtId="181" fontId="32" fillId="0" borderId="0" xfId="43" applyNumberFormat="1" applyFont="1" applyFill="1" applyBorder="1" applyAlignment="1" applyProtection="1">
      <alignment/>
      <protection/>
    </xf>
    <xf numFmtId="181" fontId="32" fillId="0" borderId="0" xfId="43" applyNumberFormat="1" applyFont="1" applyFill="1" applyBorder="1" applyAlignment="1" applyProtection="1">
      <alignment wrapText="1"/>
      <protection/>
    </xf>
    <xf numFmtId="181" fontId="32" fillId="0" borderId="0" xfId="43" applyNumberFormat="1" applyFont="1" applyFill="1" applyBorder="1" applyAlignment="1" applyProtection="1">
      <alignment horizontal="right" wrapText="1"/>
      <protection/>
    </xf>
    <xf numFmtId="0" fontId="2" fillId="0" borderId="0" xfId="0" applyFont="1" applyFill="1" applyAlignment="1">
      <alignment/>
    </xf>
    <xf numFmtId="181" fontId="31" fillId="0" borderId="0" xfId="15" applyNumberFormat="1" applyFont="1" applyFill="1" applyAlignment="1">
      <alignment/>
      <protection/>
    </xf>
    <xf numFmtId="181" fontId="31" fillId="0" borderId="0" xfId="43" applyNumberFormat="1" applyFont="1" applyFill="1" applyBorder="1" applyAlignment="1" applyProtection="1">
      <alignment wrapText="1"/>
      <protection/>
    </xf>
    <xf numFmtId="181" fontId="31" fillId="0" borderId="0" xfId="43" applyNumberFormat="1" applyFont="1" applyFill="1" applyBorder="1" applyAlignment="1" applyProtection="1">
      <alignment horizontal="right" wrapText="1"/>
      <protection/>
    </xf>
    <xf numFmtId="181" fontId="54" fillId="0" borderId="0" xfId="43" applyNumberFormat="1" applyFont="1" applyFill="1" applyBorder="1" applyAlignment="1" applyProtection="1">
      <alignment horizontal="right"/>
      <protection/>
    </xf>
    <xf numFmtId="181" fontId="55" fillId="0" borderId="0" xfId="43" applyNumberFormat="1" applyFont="1" applyFill="1" applyBorder="1" applyAlignment="1" applyProtection="1">
      <alignment wrapText="1"/>
      <protection/>
    </xf>
    <xf numFmtId="181" fontId="31" fillId="0" borderId="0" xfId="43" applyNumberFormat="1" applyFont="1" applyFill="1" applyBorder="1" applyAlignment="1" applyProtection="1">
      <alignment/>
      <protection/>
    </xf>
    <xf numFmtId="181" fontId="30" fillId="0" borderId="0" xfId="43" applyNumberFormat="1" applyFont="1" applyFill="1" applyBorder="1" applyAlignment="1" applyProtection="1">
      <alignment wrapText="1"/>
      <protection/>
    </xf>
    <xf numFmtId="181" fontId="30" fillId="0" borderId="0" xfId="43" applyNumberFormat="1" applyFont="1" applyFill="1" applyBorder="1" applyAlignment="1" applyProtection="1">
      <alignment horizontal="right" wrapText="1"/>
      <protection/>
    </xf>
    <xf numFmtId="0" fontId="2" fillId="0" borderId="13" xfId="15" applyFont="1" applyFill="1" applyBorder="1" applyAlignment="1">
      <alignment/>
      <protection/>
    </xf>
    <xf numFmtId="181" fontId="2" fillId="0" borderId="18" xfId="43" applyNumberFormat="1" applyFont="1" applyFill="1" applyBorder="1" applyAlignment="1" applyProtection="1">
      <alignment/>
      <protection/>
    </xf>
    <xf numFmtId="181" fontId="32" fillId="0" borderId="18" xfId="43" applyNumberFormat="1" applyFont="1" applyFill="1" applyBorder="1" applyAlignment="1" applyProtection="1">
      <alignment/>
      <protection/>
    </xf>
    <xf numFmtId="181" fontId="32" fillId="0" borderId="13" xfId="43" applyNumberFormat="1" applyFont="1" applyFill="1" applyBorder="1" applyAlignment="1" applyProtection="1">
      <alignment horizontal="right"/>
      <protection/>
    </xf>
    <xf numFmtId="181" fontId="9" fillId="0" borderId="0" xfId="15" applyNumberFormat="1" applyFont="1" applyFill="1" applyAlignment="1">
      <alignment/>
      <protection/>
    </xf>
    <xf numFmtId="181" fontId="9" fillId="0" borderId="0" xfId="15" applyNumberFormat="1" applyFont="1" applyFill="1" applyBorder="1" applyAlignment="1">
      <alignment/>
      <protection/>
    </xf>
    <xf numFmtId="0" fontId="2" fillId="0" borderId="19" xfId="15" applyFont="1" applyFill="1" applyBorder="1" applyAlignment="1">
      <alignment/>
      <protection/>
    </xf>
    <xf numFmtId="181" fontId="2" fillId="0" borderId="19" xfId="43" applyNumberFormat="1" applyFont="1" applyFill="1" applyBorder="1" applyAlignment="1" applyProtection="1">
      <alignment/>
      <protection/>
    </xf>
    <xf numFmtId="181" fontId="32" fillId="0" borderId="19" xfId="43" applyNumberFormat="1" applyFont="1" applyFill="1" applyBorder="1" applyAlignment="1" applyProtection="1">
      <alignment/>
      <protection/>
    </xf>
    <xf numFmtId="0" fontId="9" fillId="0" borderId="0" xfId="15" applyFont="1" applyFill="1" applyAlignment="1">
      <alignment horizontal="left" indent="1"/>
      <protection/>
    </xf>
    <xf numFmtId="0" fontId="9" fillId="0" borderId="0" xfId="15" applyFont="1" applyFill="1" applyBorder="1" applyAlignment="1" quotePrefix="1">
      <alignment/>
      <protection/>
    </xf>
    <xf numFmtId="49" fontId="9" fillId="0" borderId="0" xfId="15" applyNumberFormat="1" applyFont="1" applyFill="1" applyAlignment="1">
      <alignment horizontal="left" indent="1"/>
      <protection/>
    </xf>
    <xf numFmtId="49" fontId="9" fillId="0" borderId="0" xfId="15" applyNumberFormat="1" applyFont="1" applyFill="1" applyAlignment="1">
      <alignment/>
      <protection/>
    </xf>
    <xf numFmtId="180" fontId="53" fillId="0" borderId="0" xfId="43" applyNumberFormat="1" applyFont="1" applyFill="1" applyBorder="1" applyAlignment="1" applyProtection="1">
      <alignment horizontal="right"/>
      <protection/>
    </xf>
    <xf numFmtId="181" fontId="9" fillId="0" borderId="0" xfId="15" applyNumberFormat="1" applyFont="1" applyFill="1">
      <alignment/>
      <protection/>
    </xf>
    <xf numFmtId="181" fontId="29" fillId="0" borderId="0" xfId="15" applyNumberFormat="1" applyFont="1" applyFill="1">
      <alignment/>
      <protection/>
    </xf>
    <xf numFmtId="0" fontId="2" fillId="0" borderId="18" xfId="15" applyFont="1" applyFill="1" applyBorder="1" applyAlignment="1">
      <alignment horizontal="left"/>
      <protection/>
    </xf>
    <xf numFmtId="0" fontId="2" fillId="0" borderId="18" xfId="15" applyFont="1" applyFill="1" applyBorder="1" applyAlignment="1">
      <alignment horizontal="center"/>
      <protection/>
    </xf>
    <xf numFmtId="0" fontId="2" fillId="0" borderId="0" xfId="15" applyFont="1" applyFill="1" applyBorder="1" applyAlignment="1">
      <alignment horizontal="center"/>
      <protection/>
    </xf>
    <xf numFmtId="0" fontId="2" fillId="0" borderId="0" xfId="43" applyNumberFormat="1" applyFont="1" applyFill="1" applyBorder="1" applyAlignment="1" applyProtection="1">
      <alignment horizontal="center" vertical="center" wrapText="1"/>
      <protection/>
    </xf>
    <xf numFmtId="182" fontId="2" fillId="0" borderId="0" xfId="15" applyNumberFormat="1" applyFont="1" applyFill="1" applyBorder="1" applyAlignment="1">
      <alignment horizontal="center"/>
      <protection/>
    </xf>
    <xf numFmtId="0" fontId="3" fillId="0" borderId="0" xfId="15" applyFont="1" applyFill="1" applyBorder="1" applyAlignment="1">
      <alignment horizontal="center"/>
      <protection/>
    </xf>
    <xf numFmtId="0" fontId="3" fillId="0" borderId="13" xfId="15" applyFont="1" applyFill="1" applyBorder="1" applyAlignment="1">
      <alignment/>
      <protection/>
    </xf>
    <xf numFmtId="181" fontId="3" fillId="0" borderId="13" xfId="43" applyNumberFormat="1" applyFont="1" applyFill="1" applyBorder="1" applyAlignment="1" applyProtection="1">
      <alignment horizontal="center"/>
      <protection/>
    </xf>
    <xf numFmtId="181" fontId="3" fillId="0" borderId="13" xfId="43" applyNumberFormat="1" applyFont="1" applyFill="1" applyBorder="1" applyAlignment="1" applyProtection="1">
      <alignment horizontal="right"/>
      <protection/>
    </xf>
    <xf numFmtId="181" fontId="2" fillId="0" borderId="0" xfId="15" applyNumberFormat="1" applyFont="1" applyFill="1" applyBorder="1" applyAlignment="1">
      <alignment horizontal="center"/>
      <protection/>
    </xf>
    <xf numFmtId="181" fontId="3" fillId="0" borderId="19" xfId="43" applyNumberFormat="1" applyFont="1" applyFill="1" applyBorder="1" applyAlignment="1" applyProtection="1">
      <alignment horizontal="center"/>
      <protection/>
    </xf>
    <xf numFmtId="181" fontId="3" fillId="0" borderId="19" xfId="43" applyNumberFormat="1" applyFont="1" applyFill="1" applyBorder="1" applyAlignment="1" applyProtection="1">
      <alignment horizontal="right"/>
      <protection/>
    </xf>
    <xf numFmtId="181" fontId="2" fillId="0" borderId="19" xfId="43" applyNumberFormat="1" applyFont="1" applyFill="1" applyBorder="1" applyAlignment="1" applyProtection="1">
      <alignment horizontal="right"/>
      <protection/>
    </xf>
    <xf numFmtId="180" fontId="3" fillId="0" borderId="0" xfId="43" applyNumberFormat="1" applyFont="1" applyFill="1" applyAlignment="1">
      <alignment horizontal="left"/>
    </xf>
    <xf numFmtId="0" fontId="9" fillId="0" borderId="0" xfId="15" applyFont="1" applyFill="1" applyBorder="1" applyAlignment="1">
      <alignment horizontal="left"/>
      <protection/>
    </xf>
    <xf numFmtId="0" fontId="9" fillId="0" borderId="0" xfId="15" applyFont="1" applyFill="1" applyAlignment="1">
      <alignment horizontal="justify" wrapText="1"/>
      <protection/>
    </xf>
    <xf numFmtId="0" fontId="40" fillId="0" borderId="0" xfId="15" applyFont="1" applyFill="1">
      <alignment/>
      <protection/>
    </xf>
    <xf numFmtId="0" fontId="2" fillId="0" borderId="0" xfId="15" applyFont="1" applyFill="1" applyAlignment="1">
      <alignment horizontal="center" wrapText="1"/>
      <protection/>
    </xf>
    <xf numFmtId="182" fontId="9" fillId="0" borderId="0" xfId="15" applyNumberFormat="1" applyFont="1" applyFill="1" applyBorder="1" applyAlignment="1">
      <alignment horizontal="left"/>
      <protection/>
    </xf>
    <xf numFmtId="14" fontId="2" fillId="0" borderId="0" xfId="15" applyNumberFormat="1" applyFont="1" applyFill="1" applyBorder="1" applyAlignment="1">
      <alignment/>
      <protection/>
    </xf>
    <xf numFmtId="0" fontId="8" fillId="0" borderId="0" xfId="15" applyFont="1" applyFill="1" applyBorder="1" applyAlignment="1">
      <alignment/>
      <protection/>
    </xf>
    <xf numFmtId="14" fontId="2" fillId="0" borderId="0" xfId="43" applyNumberFormat="1" applyFont="1" applyFill="1" applyBorder="1" applyAlignment="1" applyProtection="1">
      <alignment/>
      <protection/>
    </xf>
    <xf numFmtId="182" fontId="2" fillId="0" borderId="13" xfId="15" applyNumberFormat="1" applyFont="1" applyFill="1" applyBorder="1" applyAlignment="1">
      <alignment horizontal="left"/>
      <protection/>
    </xf>
    <xf numFmtId="0" fontId="8" fillId="0" borderId="0" xfId="15" applyFont="1" applyFill="1" applyBorder="1" applyAlignment="1">
      <alignment horizontal="center"/>
      <protection/>
    </xf>
    <xf numFmtId="9" fontId="57" fillId="0" borderId="0" xfId="63" applyFont="1" applyFill="1" applyBorder="1" applyAlignment="1">
      <alignment horizontal="center"/>
    </xf>
    <xf numFmtId="0" fontId="16" fillId="0" borderId="0" xfId="15" applyFont="1" applyFill="1" applyBorder="1" applyAlignment="1">
      <alignment/>
      <protection/>
    </xf>
    <xf numFmtId="185" fontId="46" fillId="0" borderId="0" xfId="43" applyNumberFormat="1" applyFont="1" applyFill="1" applyBorder="1" applyAlignment="1">
      <alignment/>
    </xf>
    <xf numFmtId="185" fontId="46" fillId="0" borderId="0" xfId="43" applyNumberFormat="1" applyFont="1" applyFill="1" applyBorder="1" applyAlignment="1" applyProtection="1">
      <alignment horizontal="right"/>
      <protection/>
    </xf>
    <xf numFmtId="181" fontId="57" fillId="0" borderId="0" xfId="43" applyNumberFormat="1" applyFont="1" applyFill="1" applyBorder="1" applyAlignment="1" applyProtection="1">
      <alignment horizontal="right"/>
      <protection/>
    </xf>
    <xf numFmtId="0" fontId="8" fillId="0" borderId="0" xfId="15" applyFont="1" applyFill="1" applyAlignment="1" quotePrefix="1">
      <alignment horizontal="right" wrapText="1"/>
      <protection/>
    </xf>
    <xf numFmtId="0" fontId="58" fillId="0" borderId="19" xfId="15" applyFont="1" applyFill="1" applyBorder="1" applyAlignment="1">
      <alignment/>
      <protection/>
    </xf>
    <xf numFmtId="181" fontId="59" fillId="0" borderId="19" xfId="43" applyNumberFormat="1" applyFont="1" applyFill="1" applyBorder="1" applyAlignment="1">
      <alignment/>
    </xf>
    <xf numFmtId="9" fontId="57" fillId="0" borderId="19" xfId="63" applyFont="1" applyFill="1" applyBorder="1" applyAlignment="1">
      <alignment horizontal="center"/>
    </xf>
    <xf numFmtId="181" fontId="59" fillId="0" borderId="19" xfId="43" applyNumberFormat="1" applyFont="1" applyFill="1" applyBorder="1" applyAlignment="1" applyProtection="1">
      <alignment horizontal="right"/>
      <protection/>
    </xf>
    <xf numFmtId="180" fontId="30" fillId="0" borderId="19" xfId="43" applyNumberFormat="1" applyFont="1" applyFill="1" applyBorder="1" applyAlignment="1" applyProtection="1">
      <alignment horizontal="right"/>
      <protection/>
    </xf>
    <xf numFmtId="181" fontId="8" fillId="0" borderId="0" xfId="15" applyNumberFormat="1" applyFont="1" applyFill="1">
      <alignment/>
      <protection/>
    </xf>
    <xf numFmtId="0" fontId="8" fillId="0" borderId="0" xfId="15" applyFont="1" applyFill="1">
      <alignment/>
      <protection/>
    </xf>
    <xf numFmtId="185" fontId="2" fillId="0" borderId="0" xfId="43" applyNumberFormat="1" applyFont="1" applyFill="1" applyBorder="1" applyAlignment="1">
      <alignment/>
    </xf>
    <xf numFmtId="181" fontId="2" fillId="0" borderId="0" xfId="43" applyNumberFormat="1" applyFont="1" applyFill="1" applyBorder="1" applyAlignment="1">
      <alignment/>
    </xf>
    <xf numFmtId="181" fontId="32" fillId="0" borderId="0" xfId="43" applyNumberFormat="1" applyFont="1" applyFill="1" applyBorder="1" applyAlignment="1">
      <alignment/>
    </xf>
    <xf numFmtId="182" fontId="3" fillId="0" borderId="0" xfId="15" applyNumberFormat="1" applyFont="1" applyFill="1" applyBorder="1" applyAlignment="1">
      <alignment horizontal="left"/>
      <protection/>
    </xf>
    <xf numFmtId="185" fontId="3" fillId="0" borderId="0" xfId="43" applyNumberFormat="1" applyFont="1" applyFill="1" applyBorder="1" applyAlignment="1">
      <alignment/>
    </xf>
    <xf numFmtId="181" fontId="3" fillId="0" borderId="0" xfId="43" applyNumberFormat="1" applyFont="1" applyFill="1" applyBorder="1" applyAlignment="1">
      <alignment/>
    </xf>
    <xf numFmtId="181" fontId="30" fillId="0" borderId="0" xfId="43" applyNumberFormat="1" applyFont="1" applyFill="1" applyBorder="1" applyAlignment="1">
      <alignment/>
    </xf>
    <xf numFmtId="0" fontId="9" fillId="0" borderId="0" xfId="15" applyFont="1" applyFill="1" applyAlignment="1" quotePrefix="1">
      <alignment/>
      <protection/>
    </xf>
    <xf numFmtId="0" fontId="9" fillId="0" borderId="0" xfId="15" applyFont="1" applyFill="1" applyAlignment="1">
      <alignment horizontal="justify"/>
      <protection/>
    </xf>
    <xf numFmtId="181" fontId="60" fillId="0" borderId="0" xfId="43" applyNumberFormat="1" applyFont="1" applyFill="1" applyBorder="1" applyAlignment="1" applyProtection="1">
      <alignment horizontal="right"/>
      <protection/>
    </xf>
    <xf numFmtId="0" fontId="29" fillId="0" borderId="0" xfId="0" applyFont="1" applyFill="1" applyAlignment="1">
      <alignment/>
    </xf>
    <xf numFmtId="0" fontId="9" fillId="0" borderId="0" xfId="15" applyFont="1" applyFill="1" applyAlignment="1" quotePrefix="1">
      <alignment horizontal="justify" wrapText="1"/>
      <protection/>
    </xf>
    <xf numFmtId="0" fontId="3" fillId="0" borderId="0" xfId="0" applyFont="1" applyFill="1" applyBorder="1" applyAlignment="1">
      <alignment/>
    </xf>
    <xf numFmtId="0" fontId="9" fillId="0" borderId="0" xfId="0" applyFont="1" applyFill="1" applyBorder="1" applyAlignment="1">
      <alignment/>
    </xf>
    <xf numFmtId="0" fontId="2" fillId="0" borderId="0" xfId="0" applyFont="1" applyFill="1" applyBorder="1" applyAlignment="1">
      <alignment/>
    </xf>
    <xf numFmtId="0" fontId="8" fillId="0" borderId="0" xfId="0" applyFont="1" applyFill="1" applyAlignment="1">
      <alignment/>
    </xf>
    <xf numFmtId="181" fontId="3" fillId="0" borderId="0" xfId="43" applyNumberFormat="1" applyFont="1" applyFill="1" applyBorder="1" applyAlignment="1" applyProtection="1">
      <alignment horizontal="center" wrapText="1"/>
      <protection/>
    </xf>
    <xf numFmtId="0" fontId="9" fillId="0" borderId="0" xfId="15" applyFont="1" applyFill="1" applyBorder="1" applyAlignment="1">
      <alignment wrapText="1"/>
      <protection/>
    </xf>
    <xf numFmtId="0" fontId="3" fillId="0" borderId="0" xfId="15" applyFont="1" applyFill="1" applyBorder="1" applyAlignment="1">
      <alignment horizontal="center" wrapText="1"/>
      <protection/>
    </xf>
    <xf numFmtId="0" fontId="2" fillId="0" borderId="13" xfId="15" applyFont="1" applyFill="1" applyBorder="1" applyAlignment="1">
      <alignment horizontal="center" wrapText="1"/>
      <protection/>
    </xf>
    <xf numFmtId="0" fontId="2" fillId="0" borderId="0" xfId="15" applyFont="1" applyFill="1" applyBorder="1" applyAlignment="1">
      <alignment horizontal="center" wrapText="1"/>
      <protection/>
    </xf>
    <xf numFmtId="0" fontId="2" fillId="0" borderId="0" xfId="15" applyFont="1" applyFill="1" applyBorder="1" applyAlignment="1">
      <alignment wrapText="1"/>
      <protection/>
    </xf>
    <xf numFmtId="14" fontId="9" fillId="0" borderId="0" xfId="15" applyNumberFormat="1" applyFont="1" applyFill="1" applyBorder="1" applyAlignment="1" quotePrefix="1">
      <alignment horizontal="center" wrapText="1"/>
      <protection/>
    </xf>
    <xf numFmtId="14" fontId="9" fillId="0" borderId="0" xfId="15" applyNumberFormat="1" applyFont="1" applyFill="1" applyBorder="1" applyAlignment="1">
      <alignment horizontal="center" wrapText="1"/>
      <protection/>
    </xf>
    <xf numFmtId="0" fontId="9" fillId="0" borderId="0" xfId="15" applyFont="1" applyFill="1" applyBorder="1" applyAlignment="1">
      <alignment horizontal="center" wrapText="1"/>
      <protection/>
    </xf>
    <xf numFmtId="0" fontId="61" fillId="0" borderId="0" xfId="15" applyFont="1" applyFill="1" applyBorder="1" applyAlignment="1">
      <alignment horizontal="center" wrapText="1"/>
      <protection/>
    </xf>
    <xf numFmtId="14" fontId="9" fillId="0" borderId="19" xfId="15" applyNumberFormat="1" applyFont="1" applyFill="1" applyBorder="1" applyAlignment="1" quotePrefix="1">
      <alignment horizontal="center" wrapText="1"/>
      <protection/>
    </xf>
    <xf numFmtId="0" fontId="9" fillId="0" borderId="19" xfId="15" applyFont="1" applyFill="1" applyBorder="1" applyAlignment="1">
      <alignment wrapText="1"/>
      <protection/>
    </xf>
    <xf numFmtId="14" fontId="9" fillId="0" borderId="19" xfId="15" applyNumberFormat="1" applyFont="1" applyFill="1" applyBorder="1" applyAlignment="1">
      <alignment horizontal="center" wrapText="1"/>
      <protection/>
    </xf>
    <xf numFmtId="0" fontId="9" fillId="0" borderId="19" xfId="15" applyFont="1" applyFill="1" applyBorder="1" applyAlignment="1">
      <alignment horizontal="center" wrapText="1"/>
      <protection/>
    </xf>
    <xf numFmtId="0" fontId="61" fillId="0" borderId="19" xfId="15" applyFont="1" applyFill="1" applyBorder="1" applyAlignment="1">
      <alignment horizontal="center" wrapText="1"/>
      <protection/>
    </xf>
    <xf numFmtId="0" fontId="48" fillId="0" borderId="0" xfId="15" applyFont="1" applyFill="1">
      <alignment/>
      <protection/>
    </xf>
    <xf numFmtId="181" fontId="13" fillId="0" borderId="0" xfId="15" applyNumberFormat="1" applyFont="1" applyFill="1">
      <alignment/>
      <protection/>
    </xf>
    <xf numFmtId="0" fontId="13" fillId="0" borderId="0" xfId="15" applyFont="1" applyFill="1">
      <alignment/>
      <protection/>
    </xf>
    <xf numFmtId="173" fontId="30" fillId="0" borderId="0" xfId="43" applyNumberFormat="1" applyFont="1" applyFill="1" applyAlignment="1">
      <alignment horizontal="right"/>
    </xf>
    <xf numFmtId="173" fontId="9" fillId="0" borderId="0" xfId="43" applyNumberFormat="1" applyFont="1" applyBorder="1" applyAlignment="1">
      <alignment/>
    </xf>
    <xf numFmtId="0" fontId="9" fillId="0" borderId="0" xfId="15" applyFont="1" applyFill="1" applyBorder="1" applyAlignment="1">
      <alignment horizontal="left" wrapText="1"/>
      <protection/>
    </xf>
    <xf numFmtId="0" fontId="2" fillId="0" borderId="0" xfId="15" applyFont="1" applyFill="1" applyAlignment="1">
      <alignment horizontal="center"/>
      <protection/>
    </xf>
    <xf numFmtId="0" fontId="2" fillId="0" borderId="13" xfId="15" applyFont="1" applyFill="1" applyBorder="1" applyAlignment="1">
      <alignment horizontal="center"/>
      <protection/>
    </xf>
    <xf numFmtId="0" fontId="2" fillId="0" borderId="16" xfId="15" applyFont="1" applyFill="1" applyBorder="1" applyAlignment="1">
      <alignment horizontal="center"/>
      <protection/>
    </xf>
    <xf numFmtId="181" fontId="2" fillId="0" borderId="16" xfId="43" applyNumberFormat="1" applyFont="1" applyFill="1" applyBorder="1" applyAlignment="1" applyProtection="1">
      <alignment horizontal="right"/>
      <protection/>
    </xf>
    <xf numFmtId="181" fontId="2" fillId="0" borderId="15" xfId="43" applyNumberFormat="1" applyFont="1" applyFill="1" applyBorder="1" applyAlignment="1" applyProtection="1">
      <alignment horizontal="center"/>
      <protection/>
    </xf>
    <xf numFmtId="181" fontId="2" fillId="0" borderId="20" xfId="43" applyNumberFormat="1" applyFont="1" applyFill="1" applyBorder="1" applyAlignment="1" applyProtection="1">
      <alignment horizontal="right"/>
      <protection/>
    </xf>
    <xf numFmtId="181" fontId="2" fillId="0" borderId="13" xfId="43" applyNumberFormat="1" applyFont="1" applyFill="1" applyBorder="1" applyAlignment="1" applyProtection="1">
      <alignment horizontal="center" wrapText="1"/>
      <protection/>
    </xf>
    <xf numFmtId="180" fontId="3" fillId="0" borderId="0" xfId="43" applyNumberFormat="1" applyFont="1" applyFill="1" applyAlignment="1">
      <alignment/>
    </xf>
    <xf numFmtId="180" fontId="3" fillId="0" borderId="0" xfId="43" applyNumberFormat="1" applyFont="1" applyFill="1" applyBorder="1" applyAlignment="1" applyProtection="1">
      <alignment horizontal="right"/>
      <protection/>
    </xf>
    <xf numFmtId="180" fontId="3" fillId="0" borderId="13" xfId="43" applyNumberFormat="1" applyFont="1" applyFill="1" applyBorder="1" applyAlignment="1">
      <alignment/>
    </xf>
    <xf numFmtId="180" fontId="3" fillId="0" borderId="13" xfId="43" applyNumberFormat="1" applyFont="1" applyFill="1" applyBorder="1" applyAlignment="1" applyProtection="1">
      <alignment horizontal="right"/>
      <protection/>
    </xf>
    <xf numFmtId="180" fontId="3" fillId="0" borderId="19" xfId="43" applyNumberFormat="1" applyFont="1" applyFill="1" applyBorder="1" applyAlignment="1">
      <alignment/>
    </xf>
    <xf numFmtId="10" fontId="2" fillId="0" borderId="0" xfId="63" applyNumberFormat="1" applyFont="1" applyFill="1" applyBorder="1" applyAlignment="1" applyProtection="1">
      <alignment horizontal="center"/>
      <protection/>
    </xf>
    <xf numFmtId="182" fontId="33" fillId="0" borderId="0" xfId="43" applyNumberFormat="1" applyFont="1" applyFill="1" applyBorder="1" applyAlignment="1" applyProtection="1">
      <alignment horizontal="center" wrapText="1"/>
      <protection/>
    </xf>
    <xf numFmtId="181" fontId="33" fillId="0" borderId="0" xfId="43" applyNumberFormat="1" applyFont="1" applyFill="1" applyBorder="1" applyAlignment="1" applyProtection="1">
      <alignment horizontal="center"/>
      <protection/>
    </xf>
    <xf numFmtId="181" fontId="30" fillId="0" borderId="14" xfId="43" applyNumberFormat="1" applyFont="1" applyFill="1" applyBorder="1" applyAlignment="1" applyProtection="1">
      <alignment horizontal="right"/>
      <protection/>
    </xf>
    <xf numFmtId="9" fontId="3" fillId="0" borderId="0" xfId="63" applyFont="1" applyFill="1" applyBorder="1" applyAlignment="1" applyProtection="1">
      <alignment horizontal="right"/>
      <protection/>
    </xf>
    <xf numFmtId="9" fontId="9" fillId="0" borderId="19" xfId="63" applyFont="1" applyFill="1" applyBorder="1" applyAlignment="1" applyProtection="1">
      <alignment horizontal="right"/>
      <protection/>
    </xf>
    <xf numFmtId="0" fontId="48" fillId="0" borderId="0" xfId="15" applyFont="1" applyFill="1" applyAlignment="1">
      <alignment horizontal="right"/>
      <protection/>
    </xf>
    <xf numFmtId="0" fontId="40" fillId="0" borderId="0" xfId="15" applyFont="1" applyFill="1" applyAlignment="1">
      <alignment horizontal="right"/>
      <protection/>
    </xf>
    <xf numFmtId="0" fontId="56" fillId="0" borderId="0" xfId="15" applyFont="1" applyFill="1" applyAlignment="1">
      <alignment horizontal="right"/>
      <protection/>
    </xf>
    <xf numFmtId="181" fontId="31" fillId="0" borderId="14" xfId="43" applyNumberFormat="1" applyFont="1" applyFill="1" applyBorder="1" applyAlignment="1" applyProtection="1">
      <alignment horizontal="right"/>
      <protection/>
    </xf>
    <xf numFmtId="0" fontId="40" fillId="0" borderId="0" xfId="15" applyFont="1" applyFill="1" applyAlignment="1">
      <alignment/>
      <protection/>
    </xf>
    <xf numFmtId="181" fontId="40" fillId="0" borderId="0" xfId="43" applyNumberFormat="1" applyFont="1" applyFill="1" applyBorder="1" applyAlignment="1" applyProtection="1">
      <alignment horizontal="right"/>
      <protection/>
    </xf>
    <xf numFmtId="0" fontId="48" fillId="0" borderId="0" xfId="15" applyFont="1" applyFill="1" applyBorder="1" applyAlignment="1">
      <alignment/>
      <protection/>
    </xf>
    <xf numFmtId="0" fontId="48" fillId="0" borderId="0" xfId="15" applyFont="1" applyFill="1" applyAlignment="1">
      <alignment/>
      <protection/>
    </xf>
    <xf numFmtId="181" fontId="48" fillId="0" borderId="0" xfId="43" applyNumberFormat="1" applyFont="1" applyFill="1" applyBorder="1" applyAlignment="1" applyProtection="1">
      <alignment horizontal="right"/>
      <protection/>
    </xf>
    <xf numFmtId="0" fontId="48" fillId="0" borderId="0" xfId="15" applyFont="1" applyFill="1" applyAlignment="1" quotePrefix="1">
      <alignment horizontal="right" wrapText="1"/>
      <protection/>
    </xf>
    <xf numFmtId="14" fontId="48" fillId="0" borderId="0" xfId="43" applyNumberFormat="1" applyFont="1" applyFill="1" applyBorder="1" applyAlignment="1" applyProtection="1">
      <alignment horizontal="right"/>
      <protection/>
    </xf>
    <xf numFmtId="0" fontId="56" fillId="0" borderId="0" xfId="15" applyFont="1" applyFill="1" applyAlignment="1">
      <alignment/>
      <protection/>
    </xf>
    <xf numFmtId="181" fontId="56" fillId="0" borderId="0" xfId="43" applyNumberFormat="1" applyFont="1" applyFill="1" applyBorder="1" applyAlignment="1" applyProtection="1">
      <alignment horizontal="right"/>
      <protection/>
    </xf>
    <xf numFmtId="181" fontId="56" fillId="0" borderId="19" xfId="43" applyNumberFormat="1" applyFont="1" applyFill="1" applyBorder="1" applyAlignment="1" applyProtection="1">
      <alignment horizontal="right"/>
      <protection/>
    </xf>
    <xf numFmtId="0" fontId="3" fillId="0" borderId="0" xfId="0" applyFont="1" applyFill="1" applyAlignment="1">
      <alignment horizontal="justify" wrapText="1"/>
    </xf>
    <xf numFmtId="0" fontId="56" fillId="0" borderId="0" xfId="15" applyFont="1" applyFill="1" applyAlignment="1" quotePrefix="1">
      <alignment/>
      <protection/>
    </xf>
    <xf numFmtId="181" fontId="62" fillId="0" borderId="0" xfId="43" applyNumberFormat="1" applyFont="1" applyFill="1" applyBorder="1" applyAlignment="1" applyProtection="1">
      <alignment horizontal="right"/>
      <protection/>
    </xf>
    <xf numFmtId="181" fontId="53" fillId="0" borderId="0" xfId="15" applyNumberFormat="1" applyFont="1" applyFill="1">
      <alignment/>
      <protection/>
    </xf>
    <xf numFmtId="0" fontId="2" fillId="0" borderId="0" xfId="15" applyFont="1" applyFill="1" applyAlignment="1">
      <alignment horizontal="justify"/>
      <protection/>
    </xf>
    <xf numFmtId="181" fontId="3" fillId="0" borderId="0" xfId="0" applyNumberFormat="1" applyFont="1" applyFill="1" applyAlignment="1">
      <alignment/>
    </xf>
    <xf numFmtId="169" fontId="31" fillId="0" borderId="0" xfId="43" applyNumberFormat="1" applyFont="1" applyFill="1" applyBorder="1" applyAlignment="1" quotePrefix="1">
      <alignment horizontal="right"/>
    </xf>
    <xf numFmtId="181" fontId="32" fillId="0" borderId="0" xfId="0" applyNumberFormat="1" applyFont="1" applyFill="1" applyBorder="1" applyAlignment="1" quotePrefix="1">
      <alignment/>
    </xf>
    <xf numFmtId="0" fontId="31" fillId="0" borderId="0" xfId="0" applyFont="1" applyFill="1" applyBorder="1" applyAlignment="1" quotePrefix="1">
      <alignment/>
    </xf>
    <xf numFmtId="181" fontId="31" fillId="0" borderId="19" xfId="43" applyNumberFormat="1" applyFont="1" applyFill="1" applyBorder="1" applyAlignment="1" applyProtection="1">
      <alignment horizontal="right"/>
      <protection/>
    </xf>
    <xf numFmtId="0" fontId="3" fillId="0" borderId="0" xfId="0" applyFont="1" applyFill="1" applyAlignment="1">
      <alignment horizontal="center"/>
    </xf>
    <xf numFmtId="173" fontId="30" fillId="0" borderId="0" xfId="0" applyNumberFormat="1" applyFont="1" applyFill="1" applyAlignment="1">
      <alignment/>
    </xf>
    <xf numFmtId="173" fontId="111" fillId="0" borderId="0" xfId="0" applyNumberFormat="1" applyFont="1" applyFill="1" applyAlignment="1">
      <alignment/>
    </xf>
    <xf numFmtId="181" fontId="112" fillId="0" borderId="0" xfId="0" applyNumberFormat="1" applyFont="1" applyFill="1" applyAlignment="1">
      <alignment/>
    </xf>
    <xf numFmtId="173" fontId="111" fillId="0" borderId="0" xfId="43" applyNumberFormat="1" applyFont="1" applyFill="1" applyAlignment="1">
      <alignment/>
    </xf>
    <xf numFmtId="173" fontId="3" fillId="0" borderId="0" xfId="0" applyNumberFormat="1" applyFont="1" applyFill="1" applyAlignment="1">
      <alignment/>
    </xf>
    <xf numFmtId="173" fontId="3" fillId="0" borderId="0" xfId="43" applyNumberFormat="1" applyFont="1" applyFill="1" applyAlignment="1">
      <alignment/>
    </xf>
    <xf numFmtId="181" fontId="32" fillId="0" borderId="19" xfId="43" applyNumberFormat="1" applyFont="1" applyFill="1" applyBorder="1" applyAlignment="1" applyProtection="1">
      <alignment horizontal="right"/>
      <protection/>
    </xf>
    <xf numFmtId="0" fontId="48" fillId="0" borderId="0" xfId="15" applyFont="1" applyFill="1" applyAlignment="1">
      <alignment horizontal="left"/>
      <protection/>
    </xf>
    <xf numFmtId="181" fontId="2" fillId="0" borderId="0" xfId="43" applyNumberFormat="1" applyFont="1" applyFill="1" applyBorder="1" applyAlignment="1" applyProtection="1">
      <alignment horizontal="center" wrapText="1"/>
      <protection/>
    </xf>
    <xf numFmtId="0" fontId="40" fillId="0" borderId="0" xfId="0" applyFont="1" applyFill="1" applyAlignment="1">
      <alignment horizontal="center"/>
    </xf>
    <xf numFmtId="0" fontId="48" fillId="0" borderId="0" xfId="15" applyFont="1" applyFill="1" applyBorder="1" applyAlignment="1">
      <alignment horizontal="center"/>
      <protection/>
    </xf>
    <xf numFmtId="0" fontId="40" fillId="0" borderId="0" xfId="15" applyFont="1" applyFill="1" applyBorder="1" applyAlignment="1">
      <alignment horizontal="left"/>
      <protection/>
    </xf>
    <xf numFmtId="173" fontId="44" fillId="0" borderId="0" xfId="43" applyNumberFormat="1" applyFont="1" applyFill="1" applyAlignment="1">
      <alignment/>
    </xf>
    <xf numFmtId="181" fontId="63" fillId="0" borderId="0" xfId="43" applyNumberFormat="1" applyFont="1" applyFill="1" applyBorder="1" applyAlignment="1" applyProtection="1">
      <alignment horizontal="right" wrapText="1"/>
      <protection/>
    </xf>
    <xf numFmtId="0" fontId="40" fillId="0" borderId="0" xfId="15" applyFont="1" applyFill="1" applyBorder="1" applyAlignment="1">
      <alignment horizontal="center"/>
      <protection/>
    </xf>
    <xf numFmtId="0" fontId="40" fillId="0" borderId="0" xfId="0" applyFont="1" applyFill="1" applyAlignment="1">
      <alignment horizontal="center" wrapText="1"/>
    </xf>
    <xf numFmtId="0" fontId="3" fillId="0" borderId="19" xfId="0" applyFont="1" applyFill="1" applyBorder="1" applyAlignment="1">
      <alignment/>
    </xf>
    <xf numFmtId="0" fontId="3" fillId="0" borderId="19" xfId="15" applyFont="1" applyFill="1" applyBorder="1" applyAlignment="1">
      <alignment horizontal="left"/>
      <protection/>
    </xf>
    <xf numFmtId="0" fontId="2" fillId="0" borderId="19" xfId="15" applyFont="1" applyFill="1" applyBorder="1" applyAlignment="1">
      <alignment horizontal="center"/>
      <protection/>
    </xf>
    <xf numFmtId="0" fontId="40" fillId="0" borderId="19" xfId="0" applyFont="1" applyFill="1" applyBorder="1" applyAlignment="1">
      <alignment horizontal="center"/>
    </xf>
    <xf numFmtId="0" fontId="48" fillId="0" borderId="19" xfId="15" applyFont="1" applyFill="1" applyBorder="1" applyAlignment="1">
      <alignment horizontal="center"/>
      <protection/>
    </xf>
    <xf numFmtId="0" fontId="40" fillId="0" borderId="19" xfId="15" applyFont="1" applyFill="1" applyBorder="1" applyAlignment="1">
      <alignment horizontal="left"/>
      <protection/>
    </xf>
    <xf numFmtId="182" fontId="3" fillId="0" borderId="0" xfId="15" applyNumberFormat="1" applyFont="1" applyFill="1">
      <alignment/>
      <protection/>
    </xf>
    <xf numFmtId="182" fontId="3" fillId="0" borderId="0" xfId="15" applyNumberFormat="1" applyFont="1" applyFill="1" applyAlignment="1">
      <alignment/>
      <protection/>
    </xf>
    <xf numFmtId="182" fontId="3" fillId="0" borderId="0" xfId="15" applyNumberFormat="1" applyFont="1" applyFill="1" applyAlignment="1">
      <alignment horizontal="center"/>
      <protection/>
    </xf>
    <xf numFmtId="0" fontId="3" fillId="0" borderId="0" xfId="15" applyNumberFormat="1" applyFont="1" applyFill="1" applyAlignment="1">
      <alignment horizontal="left"/>
      <protection/>
    </xf>
    <xf numFmtId="0" fontId="3" fillId="0" borderId="0" xfId="15" applyNumberFormat="1" applyFont="1" applyFill="1" applyAlignment="1">
      <alignment/>
      <protection/>
    </xf>
    <xf numFmtId="0" fontId="3" fillId="0" borderId="0" xfId="15" applyNumberFormat="1" applyFont="1" applyFill="1">
      <alignment/>
      <protection/>
    </xf>
    <xf numFmtId="182" fontId="2" fillId="0" borderId="0" xfId="15" applyNumberFormat="1" applyFont="1" applyFill="1" applyBorder="1" applyAlignment="1">
      <alignment/>
      <protection/>
    </xf>
    <xf numFmtId="182" fontId="2" fillId="0" borderId="0" xfId="15" applyNumberFormat="1" applyFont="1" applyFill="1" applyBorder="1" applyAlignment="1">
      <alignment horizontal="left"/>
      <protection/>
    </xf>
    <xf numFmtId="182" fontId="3" fillId="0" borderId="0" xfId="15" applyNumberFormat="1" applyFont="1" applyFill="1" applyBorder="1" applyAlignment="1">
      <alignment/>
      <protection/>
    </xf>
    <xf numFmtId="0" fontId="3" fillId="0" borderId="0" xfId="15" applyNumberFormat="1" applyFont="1" applyFill="1" applyBorder="1" applyAlignment="1">
      <alignment horizontal="left"/>
      <protection/>
    </xf>
    <xf numFmtId="0" fontId="3" fillId="0" borderId="0" xfId="15" applyNumberFormat="1" applyFont="1" applyFill="1" applyBorder="1" applyAlignment="1">
      <alignment/>
      <protection/>
    </xf>
    <xf numFmtId="0" fontId="3" fillId="0" borderId="0" xfId="15" applyNumberFormat="1" applyFont="1" applyFill="1" applyBorder="1">
      <alignment/>
      <protection/>
    </xf>
    <xf numFmtId="182" fontId="2" fillId="0" borderId="0" xfId="15" applyNumberFormat="1" applyFont="1" applyFill="1" applyAlignment="1">
      <alignment/>
      <protection/>
    </xf>
    <xf numFmtId="182" fontId="2" fillId="0" borderId="0" xfId="15" applyNumberFormat="1" applyFont="1" applyFill="1" applyAlignment="1">
      <alignment horizontal="center"/>
      <protection/>
    </xf>
    <xf numFmtId="182" fontId="2" fillId="0" borderId="0" xfId="15" applyNumberFormat="1" applyFont="1" applyFill="1" applyAlignment="1">
      <alignment horizontal="left"/>
      <protection/>
    </xf>
    <xf numFmtId="182" fontId="2" fillId="0" borderId="0" xfId="43" applyNumberFormat="1" applyFont="1" applyFill="1" applyBorder="1" applyAlignment="1" applyProtection="1">
      <alignment/>
      <protection/>
    </xf>
    <xf numFmtId="0" fontId="30" fillId="0" borderId="0" xfId="15" applyFont="1" applyFill="1" applyAlignment="1">
      <alignment horizontal="center"/>
      <protection/>
    </xf>
    <xf numFmtId="0" fontId="30" fillId="0" borderId="0" xfId="15" applyFont="1" applyFill="1">
      <alignment/>
      <protection/>
    </xf>
    <xf numFmtId="0" fontId="41" fillId="0" borderId="0" xfId="15" applyFont="1">
      <alignment/>
      <protection/>
    </xf>
    <xf numFmtId="0" fontId="34" fillId="0" borderId="0" xfId="57" applyFont="1" applyAlignment="1">
      <alignment horizontal="left"/>
      <protection/>
    </xf>
    <xf numFmtId="0" fontId="30" fillId="0" borderId="0" xfId="57" applyFont="1" applyAlignment="1">
      <alignment/>
      <protection/>
    </xf>
    <xf numFmtId="0" fontId="30" fillId="0" borderId="0" xfId="15" applyFont="1" applyFill="1" applyAlignment="1">
      <alignment wrapText="1"/>
      <protection/>
    </xf>
    <xf numFmtId="0" fontId="36" fillId="0" borderId="13" xfId="15" applyFont="1" applyBorder="1" applyAlignment="1">
      <alignment horizontal="left"/>
      <protection/>
    </xf>
    <xf numFmtId="0" fontId="30" fillId="0" borderId="13" xfId="15" applyFont="1" applyBorder="1" applyAlignment="1">
      <alignment/>
      <protection/>
    </xf>
    <xf numFmtId="181" fontId="31" fillId="0" borderId="13" xfId="43" applyNumberFormat="1" applyFont="1" applyFill="1" applyBorder="1" applyAlignment="1" applyProtection="1">
      <alignment horizontal="right"/>
      <protection/>
    </xf>
    <xf numFmtId="0" fontId="38" fillId="0" borderId="0" xfId="15" applyNumberFormat="1" applyFont="1" applyBorder="1" applyAlignment="1">
      <alignment horizontal="right"/>
      <protection/>
    </xf>
    <xf numFmtId="0" fontId="2" fillId="0" borderId="0" xfId="15" applyFont="1" applyAlignment="1" quotePrefix="1">
      <alignment horizontal="right" wrapText="1"/>
      <protection/>
    </xf>
    <xf numFmtId="0" fontId="2" fillId="0" borderId="0" xfId="15" applyFont="1" applyAlignment="1">
      <alignment horizontal="left"/>
      <protection/>
    </xf>
    <xf numFmtId="0" fontId="3" fillId="0" borderId="0" xfId="15" applyFont="1" applyAlignment="1">
      <alignment/>
      <protection/>
    </xf>
    <xf numFmtId="0" fontId="2" fillId="0" borderId="18" xfId="15" applyFont="1" applyBorder="1" applyAlignment="1">
      <alignment/>
      <protection/>
    </xf>
    <xf numFmtId="181" fontId="2" fillId="0" borderId="18" xfId="43" applyNumberFormat="1" applyFont="1" applyFill="1" applyBorder="1" applyAlignment="1" applyProtection="1">
      <alignment horizontal="center" vertical="center" wrapText="1"/>
      <protection/>
    </xf>
    <xf numFmtId="181" fontId="2" fillId="0" borderId="0" xfId="43" applyNumberFormat="1" applyFont="1" applyFill="1" applyBorder="1" applyAlignment="1" applyProtection="1">
      <alignment wrapText="1"/>
      <protection/>
    </xf>
    <xf numFmtId="181" fontId="2" fillId="0" borderId="0" xfId="0" applyNumberFormat="1" applyFont="1" applyAlignment="1">
      <alignment/>
    </xf>
    <xf numFmtId="0" fontId="9" fillId="0" borderId="0" xfId="15" applyFont="1" applyAlignment="1">
      <alignment horizontal="right"/>
      <protection/>
    </xf>
    <xf numFmtId="0" fontId="9" fillId="0" borderId="0" xfId="15" applyFont="1" applyAlignment="1">
      <alignment/>
      <protection/>
    </xf>
    <xf numFmtId="0" fontId="9" fillId="0" borderId="0" xfId="15" applyFont="1" applyBorder="1" applyAlignment="1">
      <alignment/>
      <protection/>
    </xf>
    <xf numFmtId="181" fontId="2" fillId="0" borderId="18" xfId="43" applyNumberFormat="1" applyFont="1" applyFill="1" applyBorder="1" applyAlignment="1" applyProtection="1">
      <alignment wrapText="1"/>
      <protection/>
    </xf>
    <xf numFmtId="181" fontId="32" fillId="0" borderId="18" xfId="43" applyNumberFormat="1" applyFont="1" applyFill="1" applyBorder="1" applyAlignment="1" applyProtection="1">
      <alignment wrapText="1"/>
      <protection/>
    </xf>
    <xf numFmtId="0" fontId="2" fillId="0" borderId="0" xfId="15" applyFont="1" applyBorder="1" applyAlignment="1">
      <alignment/>
      <protection/>
    </xf>
    <xf numFmtId="181" fontId="53" fillId="0" borderId="0" xfId="43" applyNumberFormat="1" applyFont="1" applyFill="1" applyBorder="1" applyAlignment="1" applyProtection="1">
      <alignment/>
      <protection/>
    </xf>
    <xf numFmtId="180" fontId="9" fillId="0" borderId="0" xfId="43" applyNumberFormat="1" applyFont="1" applyFill="1" applyBorder="1" applyAlignment="1" applyProtection="1">
      <alignment horizontal="right"/>
      <protection/>
    </xf>
    <xf numFmtId="180" fontId="9" fillId="0" borderId="0" xfId="43" applyNumberFormat="1" applyFont="1" applyFill="1" applyBorder="1" applyAlignment="1" applyProtection="1">
      <alignment/>
      <protection/>
    </xf>
    <xf numFmtId="180" fontId="9" fillId="0" borderId="0" xfId="43" applyNumberFormat="1" applyFont="1" applyFill="1" applyBorder="1" applyAlignment="1" applyProtection="1">
      <alignment horizontal="center"/>
      <protection/>
    </xf>
    <xf numFmtId="181" fontId="53" fillId="0" borderId="0" xfId="43" applyNumberFormat="1" applyFont="1" applyFill="1" applyBorder="1" applyAlignment="1" applyProtection="1">
      <alignment wrapText="1"/>
      <protection/>
    </xf>
    <xf numFmtId="181" fontId="2" fillId="0" borderId="18" xfId="43" applyNumberFormat="1" applyFont="1" applyFill="1" applyBorder="1" applyAlignment="1" applyProtection="1">
      <alignment horizontal="center"/>
      <protection/>
    </xf>
    <xf numFmtId="181" fontId="32" fillId="0" borderId="18" xfId="43" applyNumberFormat="1" applyFont="1" applyFill="1" applyBorder="1" applyAlignment="1" applyProtection="1">
      <alignment horizontal="center"/>
      <protection/>
    </xf>
    <xf numFmtId="181" fontId="2" fillId="0" borderId="0" xfId="43" applyNumberFormat="1" applyFont="1" applyAlignment="1">
      <alignment/>
    </xf>
    <xf numFmtId="0" fontId="2" fillId="0" borderId="14" xfId="15" applyFont="1" applyBorder="1" applyAlignment="1">
      <alignment/>
      <protection/>
    </xf>
    <xf numFmtId="181" fontId="2" fillId="0" borderId="14" xfId="43" applyNumberFormat="1" applyFont="1" applyFill="1" applyBorder="1" applyAlignment="1" applyProtection="1">
      <alignment horizontal="center"/>
      <protection/>
    </xf>
    <xf numFmtId="181" fontId="32" fillId="0" borderId="14" xfId="43" applyNumberFormat="1" applyFont="1" applyFill="1" applyBorder="1" applyAlignment="1" applyProtection="1">
      <alignment horizontal="center"/>
      <protection/>
    </xf>
    <xf numFmtId="0" fontId="3" fillId="0" borderId="0" xfId="15" applyFont="1" applyFill="1" applyBorder="1" applyAlignment="1" quotePrefix="1">
      <alignment/>
      <protection/>
    </xf>
    <xf numFmtId="180" fontId="3" fillId="0" borderId="0" xfId="43" applyNumberFormat="1" applyFont="1" applyFill="1" applyBorder="1" applyAlignment="1" applyProtection="1">
      <alignment wrapText="1"/>
      <protection/>
    </xf>
    <xf numFmtId="0" fontId="40" fillId="0" borderId="0" xfId="15" applyFont="1" applyFill="1" applyBorder="1" applyAlignment="1">
      <alignment/>
      <protection/>
    </xf>
    <xf numFmtId="0" fontId="66" fillId="0" borderId="0" xfId="15" applyNumberFormat="1" applyFont="1" applyAlignment="1">
      <alignment horizontal="left"/>
      <protection/>
    </xf>
    <xf numFmtId="182" fontId="2" fillId="0" borderId="21" xfId="43" applyNumberFormat="1" applyFont="1" applyFill="1" applyBorder="1" applyAlignment="1" applyProtection="1">
      <alignment horizontal="center" vertical="center" wrapText="1"/>
      <protection/>
    </xf>
    <xf numFmtId="181" fontId="2" fillId="0" borderId="21" xfId="43" applyNumberFormat="1" applyFont="1" applyFill="1" applyBorder="1" applyAlignment="1" applyProtection="1">
      <alignment horizontal="center" vertical="center" wrapText="1"/>
      <protection/>
    </xf>
    <xf numFmtId="0" fontId="2" fillId="0" borderId="22" xfId="15" applyFont="1" applyBorder="1" applyAlignment="1">
      <alignment/>
      <protection/>
    </xf>
    <xf numFmtId="0" fontId="2" fillId="0" borderId="22" xfId="15" applyFont="1" applyFill="1" applyBorder="1" applyAlignment="1">
      <alignment/>
      <protection/>
    </xf>
    <xf numFmtId="182" fontId="32" fillId="0" borderId="22" xfId="15" applyNumberFormat="1" applyFont="1" applyFill="1" applyBorder="1" applyAlignment="1">
      <alignment/>
      <protection/>
    </xf>
    <xf numFmtId="181" fontId="32" fillId="0" borderId="22" xfId="43" applyNumberFormat="1" applyFont="1" applyFill="1" applyBorder="1" applyAlignment="1" applyProtection="1">
      <alignment/>
      <protection/>
    </xf>
    <xf numFmtId="182" fontId="30" fillId="0" borderId="0" xfId="15" applyNumberFormat="1" applyFont="1" applyFill="1" applyAlignment="1">
      <alignment/>
      <protection/>
    </xf>
    <xf numFmtId="0" fontId="3" fillId="0" borderId="0" xfId="15" applyFont="1" applyFill="1" applyBorder="1">
      <alignment/>
      <protection/>
    </xf>
    <xf numFmtId="0" fontId="3" fillId="0" borderId="0" xfId="0" applyFont="1" applyBorder="1" applyAlignment="1">
      <alignment/>
    </xf>
    <xf numFmtId="0" fontId="2" fillId="0" borderId="15" xfId="15" applyFont="1" applyBorder="1" applyAlignment="1">
      <alignment/>
      <protection/>
    </xf>
    <xf numFmtId="0" fontId="2" fillId="0" borderId="15" xfId="15" applyFont="1" applyFill="1" applyBorder="1" applyAlignment="1">
      <alignment/>
      <protection/>
    </xf>
    <xf numFmtId="182" fontId="32" fillId="0" borderId="15" xfId="15" applyNumberFormat="1" applyFont="1" applyFill="1" applyBorder="1" applyAlignment="1">
      <alignment/>
      <protection/>
    </xf>
    <xf numFmtId="182" fontId="2" fillId="0" borderId="0" xfId="15" applyNumberFormat="1" applyFont="1" applyFill="1">
      <alignment/>
      <protection/>
    </xf>
    <xf numFmtId="182" fontId="32" fillId="0" borderId="0" xfId="15" applyNumberFormat="1" applyFont="1" applyFill="1" applyBorder="1" applyAlignment="1">
      <alignment/>
      <protection/>
    </xf>
    <xf numFmtId="0" fontId="2" fillId="0" borderId="0" xfId="15" applyFont="1" applyFill="1" applyBorder="1">
      <alignment/>
      <protection/>
    </xf>
    <xf numFmtId="0" fontId="2" fillId="0" borderId="13" xfId="15" applyFont="1" applyBorder="1" applyAlignment="1">
      <alignment/>
      <protection/>
    </xf>
    <xf numFmtId="182" fontId="32" fillId="0" borderId="13" xfId="15" applyNumberFormat="1" applyFont="1" applyFill="1" applyBorder="1" applyAlignment="1">
      <alignment/>
      <protection/>
    </xf>
    <xf numFmtId="0" fontId="2" fillId="0" borderId="19" xfId="15" applyFont="1" applyBorder="1" applyAlignment="1">
      <alignment/>
      <protection/>
    </xf>
    <xf numFmtId="182" fontId="32" fillId="0" borderId="19" xfId="15" applyNumberFormat="1" applyFont="1" applyFill="1" applyBorder="1" applyAlignment="1">
      <alignment/>
      <protection/>
    </xf>
    <xf numFmtId="0" fontId="113" fillId="0" borderId="0" xfId="15" applyFont="1" applyFill="1">
      <alignment/>
      <protection/>
    </xf>
    <xf numFmtId="182" fontId="113" fillId="0" borderId="0" xfId="15" applyNumberFormat="1" applyFont="1" applyFill="1">
      <alignment/>
      <protection/>
    </xf>
    <xf numFmtId="181" fontId="113" fillId="0" borderId="0" xfId="43" applyNumberFormat="1" applyFont="1" applyFill="1" applyBorder="1" applyAlignment="1" applyProtection="1">
      <alignment/>
      <protection/>
    </xf>
    <xf numFmtId="180" fontId="113" fillId="0" borderId="0" xfId="15" applyNumberFormat="1" applyFont="1" applyFill="1">
      <alignment/>
      <protection/>
    </xf>
    <xf numFmtId="0" fontId="113" fillId="0" borderId="0" xfId="15" applyFont="1" applyAlignment="1">
      <alignment horizontal="right"/>
      <protection/>
    </xf>
    <xf numFmtId="0" fontId="113" fillId="0" borderId="0" xfId="15" applyFont="1" applyBorder="1" applyAlignment="1">
      <alignment/>
      <protection/>
    </xf>
    <xf numFmtId="181" fontId="114" fillId="0" borderId="0" xfId="43" applyNumberFormat="1" applyFont="1" applyFill="1" applyBorder="1" applyAlignment="1" applyProtection="1">
      <alignment/>
      <protection/>
    </xf>
    <xf numFmtId="181" fontId="114" fillId="0" borderId="0" xfId="43" applyNumberFormat="1" applyFont="1" applyFill="1" applyBorder="1" applyAlignment="1" applyProtection="1">
      <alignment horizontal="center"/>
      <protection/>
    </xf>
    <xf numFmtId="0" fontId="115" fillId="0" borderId="0" xfId="15" applyFont="1">
      <alignment/>
      <protection/>
    </xf>
    <xf numFmtId="0" fontId="113" fillId="0" borderId="0" xfId="0" applyFont="1" applyAlignment="1">
      <alignment/>
    </xf>
    <xf numFmtId="182" fontId="113" fillId="0" borderId="0" xfId="15" applyNumberFormat="1" applyFont="1">
      <alignment/>
      <protection/>
    </xf>
    <xf numFmtId="182" fontId="116" fillId="0" borderId="0" xfId="15" applyNumberFormat="1" applyFont="1" applyBorder="1" applyAlignment="1">
      <alignment/>
      <protection/>
    </xf>
    <xf numFmtId="182" fontId="116" fillId="0" borderId="0" xfId="15" applyNumberFormat="1" applyFont="1" applyBorder="1" applyAlignment="1">
      <alignment horizontal="left"/>
      <protection/>
    </xf>
    <xf numFmtId="182" fontId="113" fillId="0" borderId="0" xfId="15" applyNumberFormat="1" applyFont="1" applyFill="1" applyAlignment="1">
      <alignment/>
      <protection/>
    </xf>
    <xf numFmtId="182" fontId="113" fillId="0" borderId="0" xfId="15" applyNumberFormat="1" applyFont="1" applyBorder="1" applyAlignment="1">
      <alignment/>
      <protection/>
    </xf>
    <xf numFmtId="0" fontId="113" fillId="0" borderId="0" xfId="15" applyNumberFormat="1" applyFont="1" applyBorder="1" applyAlignment="1">
      <alignment horizontal="left"/>
      <protection/>
    </xf>
    <xf numFmtId="0" fontId="113" fillId="0" borderId="0" xfId="15" applyNumberFormat="1" applyFont="1" applyBorder="1" applyAlignment="1">
      <alignment/>
      <protection/>
    </xf>
    <xf numFmtId="0" fontId="113" fillId="0" borderId="0" xfId="15" applyNumberFormat="1" applyFont="1" applyBorder="1">
      <alignment/>
      <protection/>
    </xf>
    <xf numFmtId="182" fontId="113" fillId="0" borderId="0" xfId="43" applyNumberFormat="1" applyFont="1" applyFill="1" applyBorder="1" applyAlignment="1" applyProtection="1">
      <alignment/>
      <protection/>
    </xf>
    <xf numFmtId="181" fontId="113" fillId="0" borderId="0" xfId="43" applyNumberFormat="1" applyFont="1" applyFill="1" applyBorder="1" applyAlignment="1" applyProtection="1">
      <alignment horizontal="right"/>
      <protection/>
    </xf>
    <xf numFmtId="180" fontId="117" fillId="0" borderId="0" xfId="43" applyNumberFormat="1" applyFont="1" applyFill="1" applyBorder="1" applyAlignment="1" applyProtection="1">
      <alignment horizontal="right"/>
      <protection/>
    </xf>
    <xf numFmtId="182" fontId="30" fillId="0" borderId="0" xfId="15" applyNumberFormat="1" applyFont="1" applyAlignment="1">
      <alignment/>
      <protection/>
    </xf>
    <xf numFmtId="0" fontId="30" fillId="0" borderId="0" xfId="15" applyNumberFormat="1" applyFont="1" applyAlignment="1">
      <alignment horizontal="left"/>
      <protection/>
    </xf>
    <xf numFmtId="0" fontId="30" fillId="0" borderId="0" xfId="15" applyNumberFormat="1" applyFont="1" applyAlignment="1">
      <alignment/>
      <protection/>
    </xf>
    <xf numFmtId="182" fontId="32" fillId="0" borderId="0" xfId="15" applyNumberFormat="1" applyFont="1">
      <alignment/>
      <protection/>
    </xf>
    <xf numFmtId="182" fontId="32" fillId="0" borderId="0" xfId="15" applyNumberFormat="1" applyFont="1" applyAlignment="1">
      <alignment/>
      <protection/>
    </xf>
    <xf numFmtId="0" fontId="32" fillId="0" borderId="0" xfId="15" applyNumberFormat="1" applyFont="1" applyAlignment="1">
      <alignment horizontal="left"/>
      <protection/>
    </xf>
    <xf numFmtId="0" fontId="32" fillId="0" borderId="0" xfId="15" applyNumberFormat="1" applyFont="1" applyAlignment="1">
      <alignment/>
      <protection/>
    </xf>
    <xf numFmtId="0" fontId="32" fillId="0" borderId="0" xfId="15" applyNumberFormat="1" applyFont="1">
      <alignment/>
      <protection/>
    </xf>
    <xf numFmtId="182" fontId="32" fillId="0" borderId="0" xfId="43" applyNumberFormat="1" applyFont="1" applyFill="1" applyBorder="1" applyAlignment="1" applyProtection="1">
      <alignment horizontal="center"/>
      <protection/>
    </xf>
    <xf numFmtId="0" fontId="67" fillId="0" borderId="0" xfId="15" applyFont="1">
      <alignment/>
      <protection/>
    </xf>
    <xf numFmtId="0" fontId="32" fillId="0" borderId="0" xfId="15" applyFont="1">
      <alignment/>
      <protection/>
    </xf>
    <xf numFmtId="172" fontId="0" fillId="0" borderId="0" xfId="0" applyNumberFormat="1" applyFont="1" applyFill="1" applyBorder="1" applyAlignment="1">
      <alignment/>
    </xf>
    <xf numFmtId="181" fontId="30" fillId="0" borderId="13" xfId="43" applyNumberFormat="1" applyFont="1" applyFill="1" applyBorder="1" applyAlignment="1" applyProtection="1">
      <alignment/>
      <protection/>
    </xf>
    <xf numFmtId="181" fontId="32" fillId="0" borderId="0" xfId="43" applyNumberFormat="1" applyFont="1" applyFill="1" applyBorder="1" applyAlignment="1">
      <alignment/>
    </xf>
    <xf numFmtId="181" fontId="30" fillId="0" borderId="0" xfId="43" applyNumberFormat="1" applyFont="1" applyFill="1" applyBorder="1" applyAlignment="1">
      <alignment/>
    </xf>
    <xf numFmtId="2" fontId="2" fillId="0" borderId="12" xfId="0" applyNumberFormat="1" applyFont="1" applyBorder="1" applyAlignment="1">
      <alignment/>
    </xf>
    <xf numFmtId="173" fontId="2" fillId="0" borderId="0" xfId="43" applyNumberFormat="1" applyFont="1" applyAlignment="1">
      <alignment horizontal="center"/>
    </xf>
    <xf numFmtId="173" fontId="8" fillId="0" borderId="0" xfId="43" applyNumberFormat="1" applyFont="1" applyAlignment="1">
      <alignment/>
    </xf>
    <xf numFmtId="173" fontId="3" fillId="0" borderId="0" xfId="43" applyNumberFormat="1" applyFont="1" applyAlignment="1">
      <alignment horizontal="center"/>
    </xf>
    <xf numFmtId="2" fontId="3" fillId="0" borderId="0" xfId="0" applyNumberFormat="1" applyFont="1" applyAlignment="1">
      <alignment horizontal="center"/>
    </xf>
    <xf numFmtId="2" fontId="3" fillId="0" borderId="0" xfId="0" applyNumberFormat="1" applyFont="1" applyAlignment="1">
      <alignment/>
    </xf>
    <xf numFmtId="181" fontId="118" fillId="0" borderId="11" xfId="43" applyNumberFormat="1" applyFont="1" applyFill="1" applyBorder="1" applyAlignment="1" applyProtection="1">
      <alignment/>
      <protection/>
    </xf>
    <xf numFmtId="171" fontId="6" fillId="0" borderId="0" xfId="43" applyNumberFormat="1" applyFont="1" applyAlignment="1">
      <alignment/>
    </xf>
    <xf numFmtId="169" fontId="2" fillId="0" borderId="0" xfId="58" applyNumberFormat="1" applyFont="1" applyFill="1" applyBorder="1" applyAlignment="1" quotePrefix="1">
      <alignment horizontal="right"/>
      <protection/>
    </xf>
    <xf numFmtId="169" fontId="3" fillId="0" borderId="0" xfId="58" applyNumberFormat="1" applyFont="1" applyFill="1" applyBorder="1" applyAlignment="1" quotePrefix="1">
      <alignment horizontal="right"/>
      <protection/>
    </xf>
    <xf numFmtId="169" fontId="3" fillId="0" borderId="0" xfId="58" applyNumberFormat="1" applyFont="1" applyFill="1" applyBorder="1" applyAlignment="1" quotePrefix="1">
      <alignment horizontal="right" vertical="center"/>
      <protection/>
    </xf>
    <xf numFmtId="169" fontId="10" fillId="0" borderId="0" xfId="58" applyNumberFormat="1" applyFont="1" applyFill="1" applyBorder="1" applyAlignment="1" quotePrefix="1">
      <alignment horizontal="right"/>
      <protection/>
    </xf>
    <xf numFmtId="172" fontId="3" fillId="0" borderId="11" xfId="0" applyNumberFormat="1" applyFont="1" applyFill="1" applyBorder="1" applyAlignment="1">
      <alignment/>
    </xf>
    <xf numFmtId="172" fontId="3" fillId="0" borderId="0" xfId="0" applyNumberFormat="1" applyFont="1" applyFill="1" applyBorder="1" applyAlignment="1">
      <alignment/>
    </xf>
    <xf numFmtId="173" fontId="119" fillId="0" borderId="0" xfId="43" applyNumberFormat="1" applyFont="1" applyFill="1" applyBorder="1" applyAlignment="1">
      <alignment horizontal="right"/>
    </xf>
    <xf numFmtId="0" fontId="5" fillId="0" borderId="0" xfId="0" applyFont="1" applyFill="1" applyAlignment="1">
      <alignment/>
    </xf>
    <xf numFmtId="173" fontId="5" fillId="0" borderId="0" xfId="43" applyNumberFormat="1" applyFont="1" applyFill="1" applyAlignment="1">
      <alignment/>
    </xf>
    <xf numFmtId="172" fontId="2" fillId="0" borderId="0" xfId="0" applyNumberFormat="1" applyFont="1" applyFill="1" applyAlignment="1">
      <alignment horizontal="center"/>
    </xf>
    <xf numFmtId="172" fontId="4" fillId="0" borderId="0" xfId="0" applyNumberFormat="1" applyFont="1" applyFill="1" applyAlignment="1">
      <alignment horizontal="center"/>
    </xf>
    <xf numFmtId="0" fontId="4" fillId="0" borderId="0" xfId="0" applyFont="1" applyFill="1" applyAlignment="1">
      <alignment horizontal="center"/>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173" fontId="8" fillId="0" borderId="0" xfId="43" applyNumberFormat="1" applyFont="1" applyFill="1" applyAlignment="1">
      <alignment/>
    </xf>
    <xf numFmtId="172" fontId="8" fillId="0" borderId="0" xfId="0" applyNumberFormat="1" applyFont="1" applyFill="1" applyAlignment="1">
      <alignment/>
    </xf>
    <xf numFmtId="172" fontId="8" fillId="0" borderId="0" xfId="0" applyNumberFormat="1" applyFont="1" applyFill="1" applyAlignment="1">
      <alignment horizontal="center"/>
    </xf>
    <xf numFmtId="0" fontId="2" fillId="0" borderId="23" xfId="0" applyFont="1" applyFill="1" applyBorder="1" applyAlignment="1">
      <alignment horizontal="center" vertical="center" wrapText="1"/>
    </xf>
    <xf numFmtId="0" fontId="2" fillId="0" borderId="10" xfId="0" applyFont="1" applyFill="1" applyBorder="1" applyAlignment="1">
      <alignment horizontal="center" vertical="center" wrapText="1"/>
    </xf>
    <xf numFmtId="173" fontId="2" fillId="0" borderId="10" xfId="43" applyNumberFormat="1" applyFont="1" applyFill="1" applyBorder="1" applyAlignment="1">
      <alignment horizontal="center" vertical="center" wrapText="1"/>
    </xf>
    <xf numFmtId="172"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xf>
    <xf numFmtId="0" fontId="2" fillId="0" borderId="11" xfId="0" applyFont="1" applyFill="1" applyBorder="1" applyAlignment="1">
      <alignment/>
    </xf>
    <xf numFmtId="172" fontId="2" fillId="0" borderId="11" xfId="0" applyNumberFormat="1" applyFont="1" applyFill="1" applyBorder="1" applyAlignment="1">
      <alignment/>
    </xf>
    <xf numFmtId="173" fontId="2" fillId="0" borderId="11" xfId="43" applyNumberFormat="1" applyFont="1" applyFill="1" applyBorder="1" applyAlignment="1">
      <alignment/>
    </xf>
    <xf numFmtId="0" fontId="3" fillId="0" borderId="11" xfId="0" applyFont="1" applyFill="1" applyBorder="1" applyAlignment="1">
      <alignment horizontal="center"/>
    </xf>
    <xf numFmtId="0" fontId="3" fillId="0" borderId="11" xfId="0" applyFont="1" applyFill="1" applyBorder="1" applyAlignment="1">
      <alignment/>
    </xf>
    <xf numFmtId="173" fontId="120" fillId="0" borderId="11" xfId="43" applyNumberFormat="1" applyFont="1" applyFill="1" applyBorder="1" applyAlignment="1">
      <alignment/>
    </xf>
    <xf numFmtId="173" fontId="3" fillId="0" borderId="11" xfId="43" applyNumberFormat="1" applyFont="1" applyFill="1" applyBorder="1" applyAlignment="1">
      <alignment horizontal="center"/>
    </xf>
    <xf numFmtId="181" fontId="2" fillId="0" borderId="11" xfId="0" applyNumberFormat="1" applyFont="1" applyFill="1" applyBorder="1" applyAlignment="1">
      <alignment horizontal="center"/>
    </xf>
    <xf numFmtId="173" fontId="2" fillId="0" borderId="11" xfId="43" applyNumberFormat="1" applyFont="1" applyFill="1" applyBorder="1" applyAlignment="1">
      <alignment horizontal="center"/>
    </xf>
    <xf numFmtId="181" fontId="118" fillId="0" borderId="0" xfId="43" applyNumberFormat="1" applyFont="1" applyFill="1" applyBorder="1" applyAlignment="1" applyProtection="1">
      <alignment/>
      <protection/>
    </xf>
    <xf numFmtId="181" fontId="3" fillId="0" borderId="11" xfId="0" applyNumberFormat="1" applyFont="1" applyFill="1" applyBorder="1" applyAlignment="1">
      <alignment horizontal="center"/>
    </xf>
    <xf numFmtId="0" fontId="9" fillId="0" borderId="11" xfId="0" applyFont="1" applyFill="1" applyBorder="1" applyAlignment="1">
      <alignment horizontal="center"/>
    </xf>
    <xf numFmtId="0" fontId="9" fillId="0" borderId="11" xfId="0" applyFont="1" applyFill="1" applyBorder="1" applyAlignment="1">
      <alignment/>
    </xf>
    <xf numFmtId="172" fontId="9" fillId="0" borderId="11" xfId="0" applyNumberFormat="1" applyFont="1" applyFill="1" applyBorder="1" applyAlignment="1">
      <alignment/>
    </xf>
    <xf numFmtId="0" fontId="12" fillId="0" borderId="0" xfId="0" applyFont="1" applyFill="1" applyAlignment="1">
      <alignment/>
    </xf>
    <xf numFmtId="172" fontId="2" fillId="0" borderId="11" xfId="0" applyNumberFormat="1" applyFont="1" applyFill="1" applyBorder="1" applyAlignment="1">
      <alignment horizontal="center"/>
    </xf>
    <xf numFmtId="173" fontId="120" fillId="0" borderId="11" xfId="56" applyNumberFormat="1" applyFont="1" applyFill="1" applyBorder="1">
      <alignment/>
      <protection/>
    </xf>
    <xf numFmtId="173" fontId="118" fillId="0" borderId="11" xfId="56" applyNumberFormat="1" applyFont="1" applyFill="1" applyBorder="1">
      <alignment/>
      <protection/>
    </xf>
    <xf numFmtId="173" fontId="3" fillId="0" borderId="11" xfId="0" applyNumberFormat="1" applyFont="1" applyFill="1" applyBorder="1" applyAlignment="1">
      <alignment horizontal="center"/>
    </xf>
    <xf numFmtId="172" fontId="6" fillId="0" borderId="0" xfId="0" applyNumberFormat="1" applyFont="1" applyFill="1" applyAlignment="1">
      <alignment/>
    </xf>
    <xf numFmtId="171" fontId="2" fillId="0" borderId="11" xfId="43" applyFont="1" applyFill="1" applyBorder="1" applyAlignment="1">
      <alignment horizontal="center"/>
    </xf>
    <xf numFmtId="173" fontId="120" fillId="0" borderId="12" xfId="56" applyNumberFormat="1" applyFont="1" applyFill="1" applyBorder="1">
      <alignment/>
      <protection/>
    </xf>
    <xf numFmtId="0" fontId="2" fillId="0" borderId="12" xfId="0" applyFont="1" applyFill="1" applyBorder="1" applyAlignment="1">
      <alignment horizontal="center"/>
    </xf>
    <xf numFmtId="172" fontId="2" fillId="0" borderId="12" xfId="0" applyNumberFormat="1" applyFont="1" applyFill="1" applyBorder="1" applyAlignment="1">
      <alignment/>
    </xf>
    <xf numFmtId="173" fontId="2" fillId="0" borderId="12" xfId="43" applyNumberFormat="1" applyFont="1" applyFill="1" applyBorder="1" applyAlignment="1">
      <alignment/>
    </xf>
    <xf numFmtId="173" fontId="2" fillId="0" borderId="12" xfId="43" applyNumberFormat="1" applyFont="1" applyFill="1" applyBorder="1" applyAlignment="1">
      <alignment horizontal="center"/>
    </xf>
    <xf numFmtId="173" fontId="6" fillId="0" borderId="0" xfId="43" applyNumberFormat="1" applyFont="1" applyFill="1" applyAlignment="1">
      <alignment/>
    </xf>
    <xf numFmtId="173" fontId="6" fillId="0" borderId="0" xfId="0" applyNumberFormat="1" applyFont="1" applyFill="1" applyAlignment="1">
      <alignment/>
    </xf>
    <xf numFmtId="173" fontId="3" fillId="0" borderId="0" xfId="43" applyNumberFormat="1" applyFont="1" applyFill="1" applyAlignment="1">
      <alignment horizontal="center"/>
    </xf>
    <xf numFmtId="0" fontId="3" fillId="0" borderId="0" xfId="0" applyFont="1" applyFill="1" applyAlignment="1">
      <alignment horizontal="left"/>
    </xf>
    <xf numFmtId="173" fontId="3" fillId="0" borderId="0" xfId="43" applyNumberFormat="1" applyFont="1" applyFill="1" applyAlignment="1">
      <alignment horizontal="left"/>
    </xf>
    <xf numFmtId="181" fontId="12" fillId="0" borderId="0" xfId="0" applyNumberFormat="1" applyFont="1" applyFill="1" applyAlignment="1">
      <alignment/>
    </xf>
    <xf numFmtId="181" fontId="6" fillId="0" borderId="0" xfId="0" applyNumberFormat="1" applyFont="1" applyFill="1" applyAlignment="1">
      <alignment/>
    </xf>
    <xf numFmtId="173" fontId="3" fillId="0" borderId="0" xfId="43" applyNumberFormat="1" applyFont="1" applyFill="1" applyBorder="1" applyAlignment="1">
      <alignment horizontal="right"/>
    </xf>
    <xf numFmtId="182" fontId="121" fillId="0" borderId="0" xfId="43" applyNumberFormat="1" applyFont="1" applyFill="1" applyBorder="1" applyAlignment="1" applyProtection="1">
      <alignment horizontal="right"/>
      <protection/>
    </xf>
    <xf numFmtId="172" fontId="6" fillId="0" borderId="0" xfId="0" applyNumberFormat="1" applyFont="1" applyAlignment="1">
      <alignment horizontal="center"/>
    </xf>
    <xf numFmtId="0" fontId="40" fillId="33" borderId="0" xfId="58" applyFont="1" applyFill="1" applyBorder="1" applyAlignment="1">
      <alignment vertical="center" wrapText="1"/>
      <protection/>
    </xf>
    <xf numFmtId="181" fontId="3" fillId="0" borderId="0" xfId="15" applyNumberFormat="1" applyFont="1" applyFill="1" applyAlignment="1">
      <alignment/>
      <protection/>
    </xf>
    <xf numFmtId="173" fontId="3" fillId="0" borderId="0" xfId="43" applyNumberFormat="1" applyFont="1" applyBorder="1" applyAlignment="1">
      <alignment/>
    </xf>
    <xf numFmtId="173" fontId="5" fillId="0" borderId="0" xfId="0" applyNumberFormat="1" applyFont="1" applyAlignment="1">
      <alignment/>
    </xf>
    <xf numFmtId="173" fontId="3" fillId="0" borderId="0" xfId="0" applyNumberFormat="1" applyFont="1" applyAlignment="1">
      <alignment/>
    </xf>
    <xf numFmtId="181" fontId="2" fillId="0" borderId="14" xfId="43" applyNumberFormat="1" applyFont="1" applyFill="1" applyBorder="1" applyAlignment="1" applyProtection="1">
      <alignment/>
      <protection/>
    </xf>
    <xf numFmtId="173" fontId="2" fillId="0" borderId="0" xfId="43" applyNumberFormat="1" applyFont="1" applyBorder="1" applyAlignment="1">
      <alignment/>
    </xf>
    <xf numFmtId="173" fontId="30" fillId="0" borderId="0" xfId="43" applyNumberFormat="1" applyFont="1" applyFill="1" applyAlignment="1">
      <alignment/>
    </xf>
    <xf numFmtId="173" fontId="3" fillId="0" borderId="0" xfId="43" applyNumberFormat="1" applyFont="1" applyFill="1" applyAlignment="1">
      <alignment/>
    </xf>
    <xf numFmtId="173" fontId="3" fillId="0" borderId="0" xfId="43" applyNumberFormat="1" applyFont="1" applyFill="1" applyAlignment="1">
      <alignment vertical="top"/>
    </xf>
    <xf numFmtId="173" fontId="40" fillId="33" borderId="0" xfId="43" applyNumberFormat="1" applyFont="1" applyFill="1" applyBorder="1" applyAlignment="1">
      <alignment vertical="center" wrapText="1"/>
    </xf>
    <xf numFmtId="173" fontId="11" fillId="0" borderId="0" xfId="43" applyNumberFormat="1" applyFont="1" applyAlignment="1">
      <alignment wrapText="1"/>
    </xf>
    <xf numFmtId="173" fontId="0" fillId="0" borderId="0" xfId="43" applyNumberFormat="1" applyFont="1" applyBorder="1" applyAlignment="1">
      <alignment/>
    </xf>
    <xf numFmtId="173" fontId="9" fillId="0" borderId="0" xfId="43" applyNumberFormat="1" applyFont="1" applyFill="1" applyAlignment="1">
      <alignment/>
    </xf>
    <xf numFmtId="173" fontId="2" fillId="0" borderId="0" xfId="43" applyNumberFormat="1" applyFont="1" applyFill="1" applyAlignment="1">
      <alignment vertical="center"/>
    </xf>
    <xf numFmtId="173" fontId="2" fillId="0" borderId="0" xfId="43" applyNumberFormat="1" applyFont="1" applyFill="1" applyAlignment="1">
      <alignment/>
    </xf>
    <xf numFmtId="173" fontId="3" fillId="0" borderId="0" xfId="43" applyNumberFormat="1" applyFont="1" applyFill="1" applyAlignment="1">
      <alignment horizontal="justify" wrapText="1"/>
    </xf>
    <xf numFmtId="0" fontId="2" fillId="0" borderId="0" xfId="0" applyFont="1" applyAlignment="1">
      <alignment horizontal="center" vertical="center"/>
    </xf>
    <xf numFmtId="0" fontId="40" fillId="0" borderId="0" xfId="15" applyFont="1" applyFill="1" applyBorder="1" applyAlignment="1">
      <alignment horizontal="justify" wrapText="1"/>
      <protection/>
    </xf>
    <xf numFmtId="173" fontId="118" fillId="0" borderId="0" xfId="43" applyNumberFormat="1" applyFont="1" applyFill="1" applyAlignment="1">
      <alignment/>
    </xf>
    <xf numFmtId="173" fontId="32" fillId="0" borderId="15" xfId="43" applyNumberFormat="1" applyFont="1" applyFill="1" applyBorder="1" applyAlignment="1">
      <alignment/>
    </xf>
    <xf numFmtId="181" fontId="2" fillId="0" borderId="0" xfId="0" applyNumberFormat="1" applyFont="1" applyFill="1" applyAlignment="1">
      <alignment/>
    </xf>
    <xf numFmtId="181" fontId="3" fillId="0" borderId="0" xfId="0" applyNumberFormat="1" applyFont="1" applyAlignment="1">
      <alignment/>
    </xf>
    <xf numFmtId="181" fontId="31" fillId="0" borderId="19" xfId="43" applyNumberFormat="1" applyFont="1" applyFill="1" applyBorder="1" applyAlignment="1" applyProtection="1">
      <alignment/>
      <protection/>
    </xf>
    <xf numFmtId="181" fontId="63" fillId="0" borderId="19" xfId="43" applyNumberFormat="1" applyFont="1" applyFill="1" applyBorder="1" applyAlignment="1" applyProtection="1">
      <alignment horizontal="right" wrapText="1"/>
      <protection/>
    </xf>
    <xf numFmtId="173" fontId="3" fillId="0" borderId="10" xfId="43" applyNumberFormat="1" applyFont="1" applyBorder="1" applyAlignment="1">
      <alignment/>
    </xf>
    <xf numFmtId="0" fontId="5" fillId="0" borderId="0" xfId="0" applyFont="1" applyAlignment="1">
      <alignment wrapText="1"/>
    </xf>
    <xf numFmtId="0" fontId="3" fillId="0" borderId="0" xfId="0" applyFont="1" applyAlignment="1">
      <alignment wrapText="1"/>
    </xf>
    <xf numFmtId="0" fontId="2" fillId="0" borderId="10" xfId="0" applyFont="1" applyBorder="1" applyAlignment="1">
      <alignment wrapText="1"/>
    </xf>
    <xf numFmtId="0" fontId="3" fillId="0" borderId="11" xfId="0" applyFont="1" applyBorder="1" applyAlignment="1">
      <alignment wrapText="1"/>
    </xf>
    <xf numFmtId="0" fontId="2" fillId="0" borderId="11" xfId="0" applyFont="1" applyBorder="1" applyAlignment="1">
      <alignment wrapText="1"/>
    </xf>
    <xf numFmtId="0" fontId="9" fillId="0" borderId="11" xfId="0" applyFont="1" applyBorder="1" applyAlignment="1">
      <alignment wrapText="1"/>
    </xf>
    <xf numFmtId="0" fontId="2" fillId="0" borderId="12" xfId="0" applyFont="1" applyBorder="1" applyAlignment="1">
      <alignment wrapText="1"/>
    </xf>
    <xf numFmtId="0" fontId="3" fillId="0" borderId="0" xfId="0" applyFont="1" applyAlignment="1">
      <alignment horizontal="center" wrapText="1"/>
    </xf>
    <xf numFmtId="0" fontId="3" fillId="0" borderId="0" xfId="0" applyFont="1" applyAlignment="1">
      <alignment horizontal="left" wrapText="1"/>
    </xf>
    <xf numFmtId="0" fontId="6" fillId="0" borderId="0" xfId="0" applyFont="1" applyAlignment="1">
      <alignment wrapText="1"/>
    </xf>
    <xf numFmtId="0" fontId="3" fillId="0" borderId="0" xfId="0" applyFont="1" applyFill="1" applyBorder="1" applyAlignment="1">
      <alignment wrapText="1"/>
    </xf>
    <xf numFmtId="0" fontId="122" fillId="0" borderId="0" xfId="0" applyFont="1" applyFill="1" applyAlignment="1">
      <alignment/>
    </xf>
    <xf numFmtId="173" fontId="122" fillId="0" borderId="0" xfId="43" applyNumberFormat="1" applyFont="1" applyFill="1" applyAlignment="1">
      <alignment/>
    </xf>
    <xf numFmtId="181" fontId="122" fillId="0" borderId="0" xfId="43" applyNumberFormat="1" applyFont="1" applyFill="1" applyBorder="1" applyAlignment="1" applyProtection="1">
      <alignment horizontal="right" wrapText="1"/>
      <protection/>
    </xf>
    <xf numFmtId="173" fontId="122" fillId="0" borderId="0" xfId="43" applyNumberFormat="1" applyFont="1" applyFill="1" applyAlignment="1">
      <alignment/>
    </xf>
    <xf numFmtId="0" fontId="122" fillId="0" borderId="0" xfId="0" applyFont="1" applyFill="1" applyAlignment="1">
      <alignment/>
    </xf>
    <xf numFmtId="173" fontId="123" fillId="0" borderId="0" xfId="43" applyNumberFormat="1" applyFont="1" applyFill="1" applyAlignment="1">
      <alignment/>
    </xf>
    <xf numFmtId="0" fontId="24" fillId="0" borderId="0" xfId="0" applyFont="1" applyBorder="1" applyAlignment="1">
      <alignment horizontal="center"/>
    </xf>
    <xf numFmtId="0" fontId="24" fillId="0" borderId="0" xfId="0" applyFont="1" applyBorder="1" applyAlignment="1">
      <alignment horizontal="center" vertical="center"/>
    </xf>
    <xf numFmtId="37" fontId="27" fillId="0" borderId="0" xfId="0" applyNumberFormat="1" applyFont="1" applyAlignment="1">
      <alignment horizontal="center" vertical="center" wrapText="1"/>
    </xf>
    <xf numFmtId="37" fontId="24" fillId="0" borderId="0" xfId="0" applyNumberFormat="1" applyFont="1" applyAlignment="1">
      <alignment horizontal="center" vertical="center" wrapText="1"/>
    </xf>
    <xf numFmtId="9" fontId="3" fillId="0" borderId="0" xfId="63" applyFont="1" applyAlignment="1">
      <alignment horizontal="center"/>
    </xf>
    <xf numFmtId="2" fontId="3" fillId="0" borderId="0" xfId="0" applyNumberFormat="1" applyFont="1" applyAlignment="1">
      <alignment horizontal="center"/>
    </xf>
    <xf numFmtId="173" fontId="2" fillId="0" borderId="23" xfId="43" applyNumberFormat="1" applyFont="1" applyBorder="1" applyAlignment="1">
      <alignment horizontal="center" vertical="center" wrapText="1"/>
    </xf>
    <xf numFmtId="172" fontId="2" fillId="0" borderId="23" xfId="0" applyNumberFormat="1" applyFont="1" applyBorder="1" applyAlignment="1">
      <alignment horizontal="center" vertical="center" wrapText="1"/>
    </xf>
    <xf numFmtId="172" fontId="2" fillId="0" borderId="24" xfId="0" applyNumberFormat="1" applyFont="1" applyBorder="1" applyAlignment="1">
      <alignment horizontal="center" vertical="center" wrapText="1"/>
    </xf>
    <xf numFmtId="172" fontId="2" fillId="0" borderId="25" xfId="0" applyNumberFormat="1" applyFont="1" applyBorder="1" applyAlignment="1">
      <alignment horizontal="center" vertical="center" wrapText="1"/>
    </xf>
    <xf numFmtId="172" fontId="13" fillId="0" borderId="24" xfId="0" applyNumberFormat="1" applyFont="1" applyBorder="1" applyAlignment="1">
      <alignment horizontal="center" vertical="center" wrapText="1"/>
    </xf>
    <xf numFmtId="172" fontId="13" fillId="0" borderId="25" xfId="0" applyNumberFormat="1" applyFont="1" applyBorder="1" applyAlignment="1">
      <alignment horizontal="center" vertical="center" wrapText="1"/>
    </xf>
    <xf numFmtId="0" fontId="3" fillId="0" borderId="26" xfId="0" applyFont="1" applyBorder="1" applyAlignment="1">
      <alignment horizontal="center"/>
    </xf>
    <xf numFmtId="0" fontId="2" fillId="0" borderId="0" xfId="0" applyFont="1" applyAlignment="1">
      <alignment horizontal="center"/>
    </xf>
    <xf numFmtId="0" fontId="2" fillId="0" borderId="0" xfId="0" applyFont="1" applyAlignment="1">
      <alignment horizontal="center" vertical="center"/>
    </xf>
    <xf numFmtId="0" fontId="2" fillId="0" borderId="27" xfId="0" applyFont="1" applyBorder="1" applyAlignment="1">
      <alignment horizontal="center" vertical="center" wrapText="1"/>
    </xf>
    <xf numFmtId="0" fontId="2" fillId="0" borderId="24" xfId="0" applyFont="1" applyBorder="1" applyAlignment="1">
      <alignment horizontal="center" vertical="center" wrapText="1"/>
    </xf>
    <xf numFmtId="0" fontId="14" fillId="0" borderId="12" xfId="0" applyFont="1" applyBorder="1" applyAlignment="1">
      <alignment horizontal="center" vertical="center" wrapText="1"/>
    </xf>
    <xf numFmtId="172" fontId="2" fillId="0" borderId="27"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3" fillId="0" borderId="0" xfId="0" applyFont="1" applyFill="1" applyAlignment="1">
      <alignment horizontal="center"/>
    </xf>
    <xf numFmtId="0" fontId="2" fillId="0" borderId="23" xfId="0" applyFont="1" applyFill="1" applyBorder="1" applyAlignment="1">
      <alignment horizontal="center" vertical="center" wrapText="1"/>
    </xf>
    <xf numFmtId="173" fontId="2" fillId="0" borderId="23" xfId="43" applyNumberFormat="1" applyFont="1" applyFill="1" applyBorder="1" applyAlignment="1">
      <alignment horizontal="center" vertical="center" wrapText="1"/>
    </xf>
    <xf numFmtId="172" fontId="2" fillId="0" borderId="23" xfId="0" applyNumberFormat="1" applyFont="1" applyFill="1" applyBorder="1" applyAlignment="1">
      <alignment horizontal="center" vertical="center" wrapText="1"/>
    </xf>
    <xf numFmtId="0" fontId="2" fillId="0" borderId="0" xfId="0" applyFont="1" applyFill="1" applyAlignment="1">
      <alignment horizontal="center"/>
    </xf>
    <xf numFmtId="172" fontId="3" fillId="0" borderId="0" xfId="0" applyNumberFormat="1" applyFont="1" applyFill="1" applyAlignment="1">
      <alignment horizontal="left"/>
    </xf>
    <xf numFmtId="0" fontId="2" fillId="0" borderId="0" xfId="0" applyFont="1" applyFill="1" applyAlignment="1">
      <alignment vertical="center"/>
    </xf>
    <xf numFmtId="172" fontId="2" fillId="0" borderId="28" xfId="0" applyNumberFormat="1" applyFont="1" applyFill="1" applyBorder="1" applyAlignment="1">
      <alignment horizontal="center" vertical="center" wrapText="1"/>
    </xf>
    <xf numFmtId="172" fontId="2" fillId="0" borderId="25" xfId="0" applyNumberFormat="1" applyFont="1" applyFill="1" applyBorder="1" applyAlignment="1">
      <alignment horizontal="center" vertical="center" wrapText="1"/>
    </xf>
    <xf numFmtId="0" fontId="39" fillId="0" borderId="0" xfId="15" applyFont="1" applyFill="1" applyBorder="1" applyAlignment="1">
      <alignment horizontal="center" vertical="center"/>
      <protection/>
    </xf>
    <xf numFmtId="0" fontId="3" fillId="33" borderId="0" xfId="58" applyFont="1" applyFill="1" applyBorder="1" applyAlignment="1" quotePrefix="1">
      <alignment horizontal="justify" wrapText="1"/>
      <protection/>
    </xf>
    <xf numFmtId="0" fontId="3" fillId="33" borderId="0" xfId="58" applyFont="1" applyFill="1" applyBorder="1" applyAlignment="1">
      <alignment horizontal="justify" wrapText="1"/>
      <protection/>
    </xf>
    <xf numFmtId="0" fontId="3" fillId="33" borderId="0" xfId="58" applyFont="1" applyFill="1" applyBorder="1" applyAlignment="1">
      <alignment horizontal="left" vertical="top" wrapText="1"/>
      <protection/>
    </xf>
    <xf numFmtId="0" fontId="3" fillId="33" borderId="0" xfId="58" applyFont="1" applyFill="1" applyBorder="1" applyAlignment="1">
      <alignment horizontal="left" wrapText="1"/>
      <protection/>
    </xf>
    <xf numFmtId="0" fontId="2" fillId="33" borderId="0" xfId="58" applyFont="1" applyFill="1" applyBorder="1" applyAlignment="1">
      <alignment horizontal="left" wrapText="1"/>
      <protection/>
    </xf>
    <xf numFmtId="182" fontId="36" fillId="0" borderId="0" xfId="43" applyNumberFormat="1" applyFont="1" applyFill="1" applyBorder="1" applyAlignment="1" applyProtection="1">
      <alignment horizontal="right"/>
      <protection/>
    </xf>
    <xf numFmtId="182" fontId="16" fillId="0" borderId="0" xfId="43" applyNumberFormat="1" applyFont="1" applyFill="1" applyBorder="1" applyAlignment="1" applyProtection="1">
      <alignment horizontal="center"/>
      <protection/>
    </xf>
    <xf numFmtId="182" fontId="33" fillId="0" borderId="0" xfId="43" applyNumberFormat="1" applyFont="1" applyFill="1" applyBorder="1" applyAlignment="1" applyProtection="1">
      <alignment horizontal="center"/>
      <protection/>
    </xf>
    <xf numFmtId="182" fontId="46" fillId="0" borderId="0" xfId="43" applyNumberFormat="1" applyFont="1" applyFill="1" applyBorder="1" applyAlignment="1" applyProtection="1">
      <alignment horizontal="center"/>
      <protection/>
    </xf>
    <xf numFmtId="0" fontId="40" fillId="0" borderId="0" xfId="15" applyFont="1" applyFill="1" applyAlignment="1">
      <alignment horizontal="justify" wrapText="1"/>
      <protection/>
    </xf>
    <xf numFmtId="0" fontId="3" fillId="0" borderId="0" xfId="15" applyFont="1" applyFill="1" applyAlignment="1">
      <alignment horizontal="justify" wrapText="1"/>
      <protection/>
    </xf>
    <xf numFmtId="0" fontId="3" fillId="0" borderId="0" xfId="15" applyFont="1" applyFill="1" applyAlignment="1">
      <alignment horizontal="justify" vertical="top" wrapText="1"/>
      <protection/>
    </xf>
    <xf numFmtId="0" fontId="3" fillId="0" borderId="0" xfId="58" applyFont="1" applyFill="1" applyBorder="1" applyAlignment="1">
      <alignment horizontal="justify" vertical="center" wrapText="1"/>
      <protection/>
    </xf>
    <xf numFmtId="0" fontId="40" fillId="0" borderId="0" xfId="58" applyFont="1" applyFill="1" applyBorder="1" applyAlignment="1" quotePrefix="1">
      <alignment horizontal="justify" wrapText="1"/>
      <protection/>
    </xf>
    <xf numFmtId="0" fontId="40" fillId="0" borderId="0" xfId="58" applyFont="1" applyFill="1" applyBorder="1" applyAlignment="1">
      <alignment horizontal="justify" wrapText="1"/>
      <protection/>
    </xf>
    <xf numFmtId="0" fontId="3" fillId="0" borderId="0" xfId="15" applyFont="1" applyFill="1" applyBorder="1" applyAlignment="1">
      <alignment horizontal="justify"/>
      <protection/>
    </xf>
    <xf numFmtId="0" fontId="40" fillId="0" borderId="0" xfId="15" applyNumberFormat="1" applyFont="1" applyFill="1" applyAlignment="1">
      <alignment horizontal="justify" wrapText="1"/>
      <protection/>
    </xf>
    <xf numFmtId="0" fontId="2" fillId="0" borderId="0" xfId="15" applyFont="1" applyFill="1" applyBorder="1" applyAlignment="1">
      <alignment horizontal="justify"/>
      <protection/>
    </xf>
    <xf numFmtId="0" fontId="48" fillId="0" borderId="0" xfId="15" applyFont="1" applyFill="1" applyAlignment="1">
      <alignment horizontal="justify" wrapText="1"/>
      <protection/>
    </xf>
    <xf numFmtId="0" fontId="40" fillId="0" borderId="0" xfId="15" applyFont="1" applyFill="1" applyBorder="1" applyAlignment="1">
      <alignment horizontal="justify"/>
      <protection/>
    </xf>
    <xf numFmtId="0" fontId="2" fillId="0" borderId="0" xfId="15" applyFont="1" applyFill="1" applyBorder="1" applyAlignment="1">
      <alignment horizontal="justify" wrapText="1"/>
      <protection/>
    </xf>
    <xf numFmtId="0" fontId="2" fillId="0" borderId="0" xfId="15" applyFont="1" applyFill="1" applyBorder="1" applyAlignment="1">
      <alignment horizontal="justify" vertical="center" wrapText="1"/>
      <protection/>
    </xf>
    <xf numFmtId="0" fontId="3" fillId="0" borderId="0" xfId="15" applyFont="1" applyFill="1" applyBorder="1" applyAlignment="1">
      <alignment horizontal="justify" vertical="center" wrapText="1"/>
      <protection/>
    </xf>
    <xf numFmtId="0" fontId="9" fillId="0" borderId="0" xfId="15" applyFont="1" applyFill="1" applyBorder="1" applyAlignment="1">
      <alignment horizontal="justify"/>
      <protection/>
    </xf>
    <xf numFmtId="0" fontId="3" fillId="0" borderId="0" xfId="15" applyFont="1" applyFill="1" applyBorder="1" applyAlignment="1">
      <alignment horizontal="justify" wrapText="1"/>
      <protection/>
    </xf>
    <xf numFmtId="0" fontId="2" fillId="0" borderId="0" xfId="15" applyFont="1" applyFill="1" applyBorder="1" applyAlignment="1" quotePrefix="1">
      <alignment horizontal="justify"/>
      <protection/>
    </xf>
    <xf numFmtId="0" fontId="3" fillId="0" borderId="0" xfId="15" applyFont="1" applyFill="1" applyBorder="1" applyAlignment="1">
      <alignment horizontal="left"/>
      <protection/>
    </xf>
    <xf numFmtId="0" fontId="3" fillId="0" borderId="0" xfId="15" applyFont="1" applyFill="1" applyBorder="1" applyAlignment="1" quotePrefix="1">
      <alignment horizontal="left"/>
      <protection/>
    </xf>
    <xf numFmtId="0" fontId="2" fillId="0" borderId="0" xfId="15" applyFont="1" applyFill="1" applyBorder="1" applyAlignment="1">
      <alignment horizontal="left"/>
      <protection/>
    </xf>
    <xf numFmtId="0" fontId="40" fillId="0" borderId="0" xfId="15" applyFont="1" applyFill="1" applyBorder="1" applyAlignment="1">
      <alignment horizontal="justify" wrapText="1"/>
      <protection/>
    </xf>
    <xf numFmtId="0" fontId="3" fillId="0" borderId="0" xfId="15" applyFont="1" applyFill="1" applyBorder="1" applyAlignment="1">
      <alignment horizontal="justify" vertical="top"/>
      <protection/>
    </xf>
    <xf numFmtId="0" fontId="2" fillId="0" borderId="0" xfId="15" applyFont="1" applyBorder="1" applyAlignment="1">
      <alignment horizontal="left"/>
      <protection/>
    </xf>
    <xf numFmtId="0" fontId="2" fillId="0" borderId="0" xfId="15" applyFont="1" applyBorder="1" applyAlignment="1" quotePrefix="1">
      <alignment horizontal="left"/>
      <protection/>
    </xf>
    <xf numFmtId="0" fontId="2" fillId="0" borderId="0" xfId="15" applyFont="1" applyBorder="1" applyAlignment="1">
      <alignment horizontal="justify" wrapText="1"/>
      <protection/>
    </xf>
    <xf numFmtId="2" fontId="3" fillId="0" borderId="0" xfId="15" applyNumberFormat="1" applyFont="1" applyFill="1" applyAlignment="1">
      <alignment horizontal="justify" wrapText="1"/>
      <protection/>
    </xf>
    <xf numFmtId="2" fontId="14" fillId="0" borderId="0" xfId="0" applyNumberFormat="1" applyFont="1" applyFill="1" applyAlignment="1">
      <alignment horizontal="justify" wrapText="1"/>
    </xf>
    <xf numFmtId="0" fontId="2" fillId="0" borderId="0" xfId="15" applyFont="1" applyFill="1" applyAlignment="1">
      <alignment horizontal="justify" wrapText="1"/>
      <protection/>
    </xf>
    <xf numFmtId="14" fontId="2" fillId="0" borderId="13" xfId="15" applyNumberFormat="1" applyFont="1" applyFill="1" applyBorder="1" applyAlignment="1">
      <alignment horizontal="center"/>
      <protection/>
    </xf>
    <xf numFmtId="14" fontId="32" fillId="0" borderId="13" xfId="43" applyNumberFormat="1" applyFont="1" applyFill="1" applyBorder="1" applyAlignment="1" applyProtection="1">
      <alignment horizontal="center"/>
      <protection/>
    </xf>
    <xf numFmtId="0" fontId="3" fillId="0" borderId="0" xfId="15" applyFont="1" applyFill="1" applyAlignment="1">
      <alignment horizontal="left" wrapText="1"/>
      <protection/>
    </xf>
    <xf numFmtId="0" fontId="9" fillId="0" borderId="0" xfId="15" applyFont="1" applyFill="1" applyBorder="1" applyAlignment="1">
      <alignment horizontal="justify" wrapText="1"/>
      <protection/>
    </xf>
    <xf numFmtId="0" fontId="3" fillId="0" borderId="0" xfId="15" applyFont="1" applyFill="1" applyAlignment="1">
      <alignment horizontal="left"/>
      <protection/>
    </xf>
    <xf numFmtId="0" fontId="56" fillId="0" borderId="0" xfId="15" applyFont="1" applyFill="1" applyAlignment="1">
      <alignment horizontal="justify" wrapText="1"/>
      <protection/>
    </xf>
    <xf numFmtId="0" fontId="9" fillId="0" borderId="0" xfId="15" applyFont="1" applyFill="1" applyAlignment="1">
      <alignment horizontal="justify" wrapText="1"/>
      <protection/>
    </xf>
    <xf numFmtId="0" fontId="9" fillId="0" borderId="0" xfId="15" applyFont="1" applyFill="1" applyAlignment="1">
      <alignment horizontal="left"/>
      <protection/>
    </xf>
    <xf numFmtId="181" fontId="2" fillId="0" borderId="13" xfId="43" applyNumberFormat="1" applyFont="1" applyFill="1" applyBorder="1" applyAlignment="1" applyProtection="1">
      <alignment horizontal="center"/>
      <protection/>
    </xf>
    <xf numFmtId="181" fontId="3" fillId="0" borderId="26" xfId="43" applyNumberFormat="1" applyFont="1" applyFill="1" applyBorder="1" applyAlignment="1" applyProtection="1">
      <alignment horizontal="center"/>
      <protection/>
    </xf>
    <xf numFmtId="0" fontId="17" fillId="0" borderId="0" xfId="15" applyFont="1" applyFill="1" applyAlignment="1">
      <alignment horizontal="left" wrapText="1"/>
      <protection/>
    </xf>
    <xf numFmtId="185" fontId="18" fillId="0" borderId="0" xfId="43" applyNumberFormat="1" applyFont="1" applyFill="1" applyBorder="1" applyAlignment="1">
      <alignment horizontal="center"/>
    </xf>
    <xf numFmtId="0" fontId="17" fillId="0" borderId="19" xfId="15" applyFont="1" applyFill="1" applyBorder="1" applyAlignment="1">
      <alignment horizontal="left" wrapText="1"/>
      <protection/>
    </xf>
    <xf numFmtId="185" fontId="18" fillId="0" borderId="19" xfId="43" applyNumberFormat="1" applyFont="1" applyFill="1" applyBorder="1" applyAlignment="1">
      <alignment horizontal="center"/>
    </xf>
    <xf numFmtId="0" fontId="2" fillId="0" borderId="0" xfId="15" applyFont="1" applyFill="1" applyAlignment="1">
      <alignment horizontal="left" wrapText="1"/>
      <protection/>
    </xf>
    <xf numFmtId="0" fontId="9" fillId="0" borderId="0" xfId="15" applyFont="1" applyFill="1" applyAlignment="1">
      <alignment horizontal="justify"/>
      <protection/>
    </xf>
    <xf numFmtId="0" fontId="8" fillId="0" borderId="0" xfId="15" applyFont="1" applyFill="1" applyBorder="1" applyAlignment="1">
      <alignment horizontal="justify" wrapText="1"/>
      <protection/>
    </xf>
    <xf numFmtId="0" fontId="2" fillId="0" borderId="0" xfId="15" applyFont="1" applyFill="1" applyBorder="1" applyAlignment="1">
      <alignment horizontal="left" wrapText="1"/>
      <protection/>
    </xf>
    <xf numFmtId="0" fontId="48" fillId="0" borderId="0" xfId="15" applyFont="1" applyFill="1" applyBorder="1" applyAlignment="1">
      <alignment horizontal="justify" wrapText="1"/>
      <protection/>
    </xf>
    <xf numFmtId="0" fontId="9" fillId="0" borderId="0" xfId="15" applyFont="1" applyFill="1" applyAlignment="1" quotePrefix="1">
      <alignment horizontal="left" wrapText="1"/>
      <protection/>
    </xf>
    <xf numFmtId="182" fontId="2" fillId="0" borderId="0" xfId="43" applyNumberFormat="1" applyFont="1" applyFill="1" applyBorder="1" applyAlignment="1" applyProtection="1">
      <alignment horizontal="center"/>
      <protection/>
    </xf>
    <xf numFmtId="0" fontId="3" fillId="0" borderId="0" xfId="0" applyFont="1" applyFill="1" applyAlignment="1">
      <alignment horizontal="left" wrapText="1"/>
    </xf>
    <xf numFmtId="0" fontId="2" fillId="0" borderId="21" xfId="15" applyFont="1" applyFill="1" applyBorder="1" applyAlignment="1">
      <alignment horizontal="center" vertical="center" wrapText="1"/>
      <protection/>
    </xf>
  </cellXfs>
  <cellStyles count="53">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_Auditor's Report HSC 2005-in" xfId="57"/>
    <cellStyle name="Normal_baocaotaichinhvinasun2007" xfId="58"/>
    <cellStyle name="Normal_form" xfId="59"/>
    <cellStyle name="Normal_KQKD-VN"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huoc%20Hanh%202012\Kiem%20toan\Kiem%20toan%206%20thang%20dau%20nam%202012\BCTC.Dzi%20An%206T%202012.Hopnhat%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C"/>
      <sheetName val="BIA"/>
      <sheetName val="MUCLUC"/>
      <sheetName val="BCGD"/>
      <sheetName val="bckt"/>
      <sheetName val="CDKT "/>
      <sheetName val="KQKD 1"/>
      <sheetName val="LCTTTT"/>
      <sheetName val="TM"/>
      <sheetName val="taisanhuuhinh"/>
      <sheetName val="Von"/>
      <sheetName val="bacaobophan"/>
      <sheetName val="cctc"/>
    </sheetNames>
    <sheetDataSet>
      <sheetData sheetId="0">
        <row r="6">
          <cell r="D6" t="str">
            <v>CÔNG TY CỔ PHẦN CHẾ TẠO MÁY DZĨ AN</v>
          </cell>
        </row>
        <row r="13">
          <cell r="D13" t="str">
            <v>01/01/2012</v>
          </cell>
        </row>
        <row r="14">
          <cell r="D14" t="str">
            <v>30/06/2012</v>
          </cell>
        </row>
        <row r="18">
          <cell r="A18" t="str">
            <v>Tổng Giám đốc</v>
          </cell>
          <cell r="D18" t="str">
            <v>Đặng Đình Hưng</v>
          </cell>
        </row>
        <row r="19">
          <cell r="A19" t="str">
            <v>Kế toán trưởng</v>
          </cell>
        </row>
      </sheetData>
      <sheetData sheetId="3">
        <row r="14">
          <cell r="B14" t="str">
            <v>Sản xuất máy phát điện, thiết bị phân phối và điều khiển điện. Sản xuất lò nung hóa khí phế liệu sinh khối rắn. Sửa chữa máy móc thiết bị. Lắp đặt máy móc, thiết bị công nghiệp. Sản xuất điện (không hoạt động trụ sở).</v>
          </cell>
        </row>
      </sheetData>
      <sheetData sheetId="5">
        <row r="10">
          <cell r="I10">
            <v>2337467743</v>
          </cell>
          <cell r="K10">
            <v>16273228176</v>
          </cell>
        </row>
        <row r="13">
          <cell r="I13">
            <v>7525960000</v>
          </cell>
          <cell r="K13">
            <v>7525960000</v>
          </cell>
        </row>
        <row r="14">
          <cell r="I14">
            <v>7525960000</v>
          </cell>
          <cell r="K14">
            <v>7525960000</v>
          </cell>
        </row>
        <row r="21">
          <cell r="I21">
            <v>2397282870</v>
          </cell>
          <cell r="K21">
            <v>4444686146</v>
          </cell>
        </row>
        <row r="23">
          <cell r="I23">
            <v>82081138627</v>
          </cell>
          <cell r="K23">
            <v>50129212684</v>
          </cell>
        </row>
        <row r="24">
          <cell r="I24">
            <v>82818183862</v>
          </cell>
        </row>
        <row r="25">
          <cell r="K25">
            <v>-737045235</v>
          </cell>
        </row>
        <row r="29">
          <cell r="I29">
            <v>8613627</v>
          </cell>
          <cell r="K29">
            <v>8613627</v>
          </cell>
        </row>
        <row r="31">
          <cell r="I31">
            <v>17865014884</v>
          </cell>
          <cell r="K31">
            <v>22404874389</v>
          </cell>
        </row>
        <row r="46">
          <cell r="I46">
            <v>0</v>
          </cell>
          <cell r="K46">
            <v>0</v>
          </cell>
        </row>
        <row r="48">
          <cell r="I48">
            <v>0</v>
          </cell>
          <cell r="K48">
            <v>0</v>
          </cell>
        </row>
        <row r="50">
          <cell r="I50">
            <v>58638222352</v>
          </cell>
        </row>
        <row r="51">
          <cell r="K51">
            <v>55156794396</v>
          </cell>
          <cell r="L51">
            <v>-2455084030</v>
          </cell>
        </row>
        <row r="52">
          <cell r="I52">
            <v>63075207679</v>
          </cell>
          <cell r="K52">
            <v>62958782225</v>
          </cell>
        </row>
        <row r="53">
          <cell r="I53">
            <v>-10373497313</v>
          </cell>
          <cell r="K53">
            <v>-7801987829</v>
          </cell>
        </row>
        <row r="54">
          <cell r="I54">
            <v>0</v>
          </cell>
          <cell r="K54">
            <v>0</v>
          </cell>
        </row>
        <row r="57">
          <cell r="I57">
            <v>3087115368</v>
          </cell>
          <cell r="L57">
            <v>-29654436</v>
          </cell>
        </row>
        <row r="58">
          <cell r="I58">
            <v>3484451315</v>
          </cell>
          <cell r="K58">
            <v>3484451315</v>
          </cell>
        </row>
        <row r="59">
          <cell r="I59">
            <v>-397335947</v>
          </cell>
          <cell r="K59">
            <v>-367681511</v>
          </cell>
        </row>
        <row r="60">
          <cell r="I60">
            <v>2849396618</v>
          </cell>
          <cell r="K60">
            <v>2496820234</v>
          </cell>
          <cell r="L60">
            <v>352576384</v>
          </cell>
        </row>
        <row r="61">
          <cell r="I61">
            <v>0</v>
          </cell>
        </row>
        <row r="62">
          <cell r="I62">
            <v>0</v>
          </cell>
        </row>
        <row r="63">
          <cell r="I63">
            <v>0</v>
          </cell>
        </row>
        <row r="70">
          <cell r="I70">
            <v>8590743540</v>
          </cell>
          <cell r="K70">
            <v>9113609652</v>
          </cell>
        </row>
        <row r="71">
          <cell r="I71">
            <v>0</v>
          </cell>
          <cell r="K71">
            <v>0</v>
          </cell>
        </row>
        <row r="72">
          <cell r="I72">
            <v>45821600</v>
          </cell>
          <cell r="K72">
            <v>45821600</v>
          </cell>
        </row>
        <row r="77">
          <cell r="I77">
            <v>57782309920</v>
          </cell>
          <cell r="K77">
            <v>49631196338</v>
          </cell>
          <cell r="L77">
            <v>8151113582</v>
          </cell>
        </row>
        <row r="80">
          <cell r="I80">
            <v>13321373291</v>
          </cell>
          <cell r="K80">
            <v>16140060194</v>
          </cell>
        </row>
        <row r="85">
          <cell r="I85">
            <v>14523659924</v>
          </cell>
          <cell r="K85">
            <v>23355206784</v>
          </cell>
        </row>
        <row r="93">
          <cell r="I93">
            <v>0</v>
          </cell>
          <cell r="K93">
            <v>0</v>
          </cell>
        </row>
        <row r="94">
          <cell r="I94">
            <v>0</v>
          </cell>
          <cell r="K94">
            <v>0</v>
          </cell>
        </row>
        <row r="95">
          <cell r="I95">
            <v>154308142</v>
          </cell>
          <cell r="K95">
            <v>274863142</v>
          </cell>
        </row>
        <row r="96">
          <cell r="I96">
            <v>2565157632</v>
          </cell>
          <cell r="K96">
            <v>2565157632</v>
          </cell>
        </row>
        <row r="113">
          <cell r="I113">
            <v>90527718124</v>
          </cell>
          <cell r="K113">
            <v>93984344034.99998</v>
          </cell>
        </row>
        <row r="114">
          <cell r="I114">
            <v>53959850000</v>
          </cell>
          <cell r="K114">
            <v>34498499999.999985</v>
          </cell>
        </row>
        <row r="115">
          <cell r="I115">
            <v>16090726000</v>
          </cell>
          <cell r="K115">
            <v>16170748000</v>
          </cell>
        </row>
        <row r="117">
          <cell r="I117">
            <v>0</v>
          </cell>
        </row>
        <row r="119">
          <cell r="I119">
            <v>-279001872</v>
          </cell>
        </row>
        <row r="120">
          <cell r="K120">
            <v>7441846914</v>
          </cell>
        </row>
        <row r="121">
          <cell r="K121">
            <v>3992523010</v>
          </cell>
        </row>
        <row r="127">
          <cell r="I127">
            <v>0</v>
          </cell>
          <cell r="K127">
            <v>0</v>
          </cell>
        </row>
      </sheetData>
      <sheetData sheetId="6">
        <row r="9">
          <cell r="H9">
            <v>99379909981</v>
          </cell>
          <cell r="J9">
            <v>105614684126</v>
          </cell>
        </row>
        <row r="10">
          <cell r="H10">
            <v>1065563800</v>
          </cell>
          <cell r="J10">
            <v>0</v>
          </cell>
        </row>
        <row r="11">
          <cell r="H11">
            <v>98314346181</v>
          </cell>
          <cell r="J11">
            <v>105614684126</v>
          </cell>
        </row>
        <row r="12">
          <cell r="H12">
            <v>69350693700</v>
          </cell>
          <cell r="J12">
            <v>74882452594</v>
          </cell>
        </row>
        <row r="15">
          <cell r="H15">
            <v>163242950</v>
          </cell>
          <cell r="J15">
            <v>792733188</v>
          </cell>
        </row>
        <row r="16">
          <cell r="H16">
            <v>4215870294</v>
          </cell>
          <cell r="J16">
            <v>3674344461</v>
          </cell>
        </row>
        <row r="22">
          <cell r="H22">
            <v>795392398</v>
          </cell>
          <cell r="J22">
            <v>1709371336</v>
          </cell>
        </row>
        <row r="23">
          <cell r="H23">
            <v>1308025063</v>
          </cell>
          <cell r="J23">
            <v>135125833</v>
          </cell>
        </row>
        <row r="27">
          <cell r="H27">
            <v>60741304</v>
          </cell>
          <cell r="J27">
            <v>1301435496</v>
          </cell>
        </row>
        <row r="28">
          <cell r="H28">
            <v>0</v>
          </cell>
          <cell r="J28">
            <v>-38327778</v>
          </cell>
        </row>
        <row r="29">
          <cell r="H29">
            <v>-6672046439</v>
          </cell>
        </row>
      </sheetData>
      <sheetData sheetId="8">
        <row r="3">
          <cell r="A3" t="str">
            <v>THUYẾT MINH BÁO CÁO TÀI CHÍNH HỢP NHẤT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J12"/>
  <sheetViews>
    <sheetView zoomScalePageLayoutView="0" workbookViewId="0" topLeftCell="A1">
      <selection activeCell="K6" sqref="K6"/>
    </sheetView>
  </sheetViews>
  <sheetFormatPr defaultColWidth="9.00390625" defaultRowHeight="12.75"/>
  <cols>
    <col min="1" max="1" width="9.125" style="42" customWidth="1"/>
    <col min="2" max="2" width="9.375" style="42" customWidth="1"/>
    <col min="3" max="3" width="9.125" style="42" customWidth="1"/>
    <col min="4" max="4" width="11.00390625" style="42" customWidth="1"/>
    <col min="5" max="5" width="9.125" style="42" customWidth="1"/>
    <col min="6" max="6" width="3.00390625" style="42" customWidth="1"/>
    <col min="7" max="7" width="9.125" style="42" customWidth="1"/>
    <col min="8" max="8" width="11.875" style="42" customWidth="1"/>
    <col min="9" max="9" width="5.625" style="42" customWidth="1"/>
    <col min="10" max="16384" width="9.125" style="42" customWidth="1"/>
  </cols>
  <sheetData>
    <row r="1" ht="36">
      <c r="A1" s="41" t="s">
        <v>147</v>
      </c>
    </row>
    <row r="2" ht="36">
      <c r="A2" s="43" t="s">
        <v>33</v>
      </c>
    </row>
    <row r="3" ht="36">
      <c r="A3" s="41" t="s">
        <v>112</v>
      </c>
    </row>
    <row r="8" spans="1:10" ht="30" customHeight="1">
      <c r="A8" s="44"/>
      <c r="B8" s="44"/>
      <c r="C8" s="44"/>
      <c r="D8" s="44"/>
      <c r="E8" s="44"/>
      <c r="F8" s="44"/>
      <c r="G8" s="44"/>
      <c r="H8" s="44"/>
      <c r="I8" s="44"/>
      <c r="J8" s="44"/>
    </row>
    <row r="9" spans="1:10" s="46" customFormat="1" ht="32.25" customHeight="1">
      <c r="A9" s="45"/>
      <c r="B9" s="702" t="s">
        <v>114</v>
      </c>
      <c r="C9" s="702"/>
      <c r="D9" s="702"/>
      <c r="E9" s="702"/>
      <c r="F9" s="702"/>
      <c r="G9" s="702"/>
      <c r="H9" s="702"/>
      <c r="I9" s="702"/>
      <c r="J9" s="702"/>
    </row>
    <row r="10" spans="1:10" s="49" customFormat="1" ht="31.5" customHeight="1">
      <c r="A10" s="47"/>
      <c r="B10" s="47"/>
      <c r="C10" s="703" t="s">
        <v>1049</v>
      </c>
      <c r="D10" s="703"/>
      <c r="E10" s="703"/>
      <c r="F10" s="703"/>
      <c r="G10" s="703"/>
      <c r="H10" s="703"/>
      <c r="I10" s="703"/>
      <c r="J10" s="48"/>
    </row>
    <row r="11" spans="1:10" s="51" customFormat="1" ht="37.5" customHeight="1">
      <c r="A11" s="50"/>
      <c r="B11" s="704" t="s">
        <v>113</v>
      </c>
      <c r="C11" s="704"/>
      <c r="D11" s="704"/>
      <c r="E11" s="704"/>
      <c r="F11" s="704"/>
      <c r="G11" s="704"/>
      <c r="H11" s="704"/>
      <c r="I11" s="704"/>
      <c r="J11" s="704"/>
    </row>
    <row r="12" spans="1:10" s="51" customFormat="1" ht="24.75" customHeight="1">
      <c r="A12" s="50"/>
      <c r="B12" s="705"/>
      <c r="C12" s="705"/>
      <c r="D12" s="705"/>
      <c r="E12" s="705"/>
      <c r="F12" s="705"/>
      <c r="G12" s="705"/>
      <c r="H12" s="705"/>
      <c r="I12" s="705"/>
      <c r="J12" s="705"/>
    </row>
  </sheetData>
  <sheetProtection/>
  <mergeCells count="4">
    <mergeCell ref="B9:J9"/>
    <mergeCell ref="C10:I10"/>
    <mergeCell ref="B11:J11"/>
    <mergeCell ref="B12:J1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A1:M46"/>
  <sheetViews>
    <sheetView zoomScalePageLayoutView="0" workbookViewId="0" topLeftCell="A10">
      <selection activeCell="N9" sqref="N9"/>
    </sheetView>
  </sheetViews>
  <sheetFormatPr defaultColWidth="9.00390625" defaultRowHeight="12.75"/>
  <cols>
    <col min="1" max="1" width="5.625" style="2" customWidth="1"/>
    <col min="2" max="2" width="39.875" style="694" customWidth="1"/>
    <col min="3" max="3" width="5.375" style="2" customWidth="1"/>
    <col min="4" max="4" width="8.00390625" style="6" customWidth="1"/>
    <col min="5" max="5" width="16.875" style="6" hidden="1" customWidth="1"/>
    <col min="6" max="6" width="22.125" style="6" hidden="1" customWidth="1"/>
    <col min="7" max="7" width="16.375" style="52" hidden="1" customWidth="1"/>
    <col min="8" max="8" width="16.125" style="52" hidden="1" customWidth="1"/>
    <col min="9" max="9" width="16.625" style="6" customWidth="1"/>
    <col min="10" max="10" width="16.875" style="2" bestFit="1" customWidth="1"/>
    <col min="11" max="12" width="18.125" style="2" bestFit="1" customWidth="1"/>
    <col min="13" max="13" width="12.625" style="2" bestFit="1" customWidth="1"/>
    <col min="14" max="16384" width="9.125" style="2" customWidth="1"/>
  </cols>
  <sheetData>
    <row r="1" spans="1:12" s="1" customFormat="1" ht="14.25" customHeight="1">
      <c r="A1" s="8" t="s">
        <v>195</v>
      </c>
      <c r="B1" s="685"/>
      <c r="G1" s="40"/>
      <c r="H1" s="40"/>
      <c r="I1" s="15" t="s">
        <v>91</v>
      </c>
      <c r="J1" s="8"/>
      <c r="K1" s="8"/>
      <c r="L1" s="8"/>
    </row>
    <row r="2" spans="1:12" s="1" customFormat="1" ht="17.25">
      <c r="A2" s="8" t="s">
        <v>9</v>
      </c>
      <c r="B2" s="685"/>
      <c r="D2" s="15"/>
      <c r="E2" s="15"/>
      <c r="F2" s="15"/>
      <c r="G2" s="593"/>
      <c r="H2" s="593"/>
      <c r="I2" s="15"/>
      <c r="J2" s="8"/>
      <c r="K2" s="8"/>
      <c r="L2" s="8"/>
    </row>
    <row r="3" spans="1:12" s="1" customFormat="1" ht="17.25">
      <c r="A3" s="8"/>
      <c r="B3" s="685"/>
      <c r="D3" s="15"/>
      <c r="E3" s="15"/>
      <c r="F3" s="15"/>
      <c r="G3" s="593"/>
      <c r="H3" s="593"/>
      <c r="I3" s="15"/>
      <c r="J3" s="8"/>
      <c r="K3" s="8"/>
      <c r="L3" s="8"/>
    </row>
    <row r="4" spans="1:12" s="1" customFormat="1" ht="17.25">
      <c r="A4" s="8"/>
      <c r="B4" s="685"/>
      <c r="D4" s="15"/>
      <c r="E4" s="15"/>
      <c r="F4" s="15"/>
      <c r="G4" s="593"/>
      <c r="H4" s="593"/>
      <c r="I4" s="15"/>
      <c r="J4" s="8"/>
      <c r="K4" s="8"/>
      <c r="L4" s="8"/>
    </row>
    <row r="5" spans="2:12" s="1" customFormat="1" ht="17.25">
      <c r="B5" s="715" t="s">
        <v>110</v>
      </c>
      <c r="C5" s="715"/>
      <c r="D5" s="715"/>
      <c r="E5" s="715"/>
      <c r="F5" s="715"/>
      <c r="G5" s="715"/>
      <c r="H5" s="715"/>
      <c r="I5" s="715"/>
      <c r="J5" s="715"/>
      <c r="K5" s="715"/>
      <c r="L5" s="715"/>
    </row>
    <row r="6" spans="2:12" s="1" customFormat="1" ht="18" customHeight="1">
      <c r="B6" s="716" t="s">
        <v>1051</v>
      </c>
      <c r="C6" s="716"/>
      <c r="D6" s="716"/>
      <c r="E6" s="716"/>
      <c r="F6" s="716"/>
      <c r="G6" s="716"/>
      <c r="H6" s="716"/>
      <c r="I6" s="716"/>
      <c r="J6" s="716"/>
      <c r="K6" s="716"/>
      <c r="L6" s="716"/>
    </row>
    <row r="7" spans="2:12" s="1" customFormat="1" ht="18" customHeight="1">
      <c r="B7" s="676"/>
      <c r="C7" s="676"/>
      <c r="D7" s="676"/>
      <c r="E7" s="676"/>
      <c r="F7" s="676"/>
      <c r="G7" s="676"/>
      <c r="H7" s="676"/>
      <c r="I7" s="676"/>
      <c r="J7" s="676"/>
      <c r="K7" s="676"/>
      <c r="L7" s="676"/>
    </row>
    <row r="8" spans="2:12" ht="16.5">
      <c r="B8" s="686"/>
      <c r="C8" s="5"/>
      <c r="D8" s="4"/>
      <c r="E8" s="4"/>
      <c r="F8" s="4"/>
      <c r="G8" s="594"/>
      <c r="H8" s="594"/>
      <c r="I8" s="13"/>
      <c r="J8" s="5"/>
      <c r="K8" s="5"/>
      <c r="L8" s="4" t="s">
        <v>121</v>
      </c>
    </row>
    <row r="9" spans="1:12" s="1" customFormat="1" ht="17.25">
      <c r="A9" s="717" t="s">
        <v>122</v>
      </c>
      <c r="B9" s="717" t="s">
        <v>120</v>
      </c>
      <c r="C9" s="720" t="s">
        <v>190</v>
      </c>
      <c r="D9" s="720" t="s">
        <v>191</v>
      </c>
      <c r="E9" s="721" t="s">
        <v>1040</v>
      </c>
      <c r="F9" s="721" t="s">
        <v>1041</v>
      </c>
      <c r="G9" s="708" t="s">
        <v>1042</v>
      </c>
      <c r="H9" s="708" t="s">
        <v>1043</v>
      </c>
      <c r="I9" s="709" t="s">
        <v>1052</v>
      </c>
      <c r="J9" s="709"/>
      <c r="K9" s="709" t="s">
        <v>1059</v>
      </c>
      <c r="L9" s="709"/>
    </row>
    <row r="10" spans="1:12" s="1" customFormat="1" ht="12" customHeight="1">
      <c r="A10" s="718"/>
      <c r="B10" s="718"/>
      <c r="C10" s="710"/>
      <c r="D10" s="710"/>
      <c r="E10" s="721"/>
      <c r="F10" s="721"/>
      <c r="G10" s="708"/>
      <c r="H10" s="708"/>
      <c r="I10" s="710" t="s">
        <v>10</v>
      </c>
      <c r="J10" s="712" t="s">
        <v>14</v>
      </c>
      <c r="K10" s="710" t="s">
        <v>10</v>
      </c>
      <c r="L10" s="712" t="s">
        <v>14</v>
      </c>
    </row>
    <row r="11" spans="1:12" s="1" customFormat="1" ht="11.25" customHeight="1">
      <c r="A11" s="719"/>
      <c r="B11" s="719"/>
      <c r="C11" s="719"/>
      <c r="D11" s="719"/>
      <c r="E11" s="721"/>
      <c r="F11" s="721"/>
      <c r="G11" s="708"/>
      <c r="H11" s="708"/>
      <c r="I11" s="711"/>
      <c r="J11" s="713"/>
      <c r="K11" s="711"/>
      <c r="L11" s="713"/>
    </row>
    <row r="12" spans="1:12" s="1" customFormat="1" ht="17.25">
      <c r="A12" s="9">
        <v>1</v>
      </c>
      <c r="B12" s="687" t="s">
        <v>131</v>
      </c>
      <c r="C12" s="25">
        <v>1</v>
      </c>
      <c r="D12" s="22" t="s">
        <v>92</v>
      </c>
      <c r="E12" s="590">
        <v>69712930664</v>
      </c>
      <c r="F12" s="22">
        <v>988154000</v>
      </c>
      <c r="G12" s="22">
        <f>78033.39*20900</f>
        <v>1630897851</v>
      </c>
      <c r="H12" s="22"/>
      <c r="I12" s="19">
        <f>SUM(E12:H12)-F12</f>
        <v>71343828515</v>
      </c>
      <c r="J12" s="19">
        <f>88016662828+447580989+1346433710</f>
        <v>89810677527</v>
      </c>
      <c r="K12" s="64">
        <f>99379909981+I12</f>
        <v>170723738496</v>
      </c>
      <c r="L12" s="19">
        <f>191413624206+3576171100+3532908674</f>
        <v>198522703980</v>
      </c>
    </row>
    <row r="13" spans="1:12" ht="16.5">
      <c r="A13" s="10">
        <v>2</v>
      </c>
      <c r="B13" s="688" t="s">
        <v>132</v>
      </c>
      <c r="C13" s="26">
        <v>2</v>
      </c>
      <c r="D13" s="23" t="s">
        <v>93</v>
      </c>
      <c r="E13" s="23"/>
      <c r="F13" s="23"/>
      <c r="G13" s="23"/>
      <c r="H13" s="23"/>
      <c r="I13" s="19">
        <f aca="true" t="shared" si="0" ref="I13:I28">SUM(E13:H13)</f>
        <v>0</v>
      </c>
      <c r="J13" s="20">
        <f>386736458</f>
        <v>386736458</v>
      </c>
      <c r="K13" s="20">
        <f>1065563800+I13</f>
        <v>1065563800</v>
      </c>
      <c r="L13" s="20">
        <f>386736458</f>
        <v>386736458</v>
      </c>
    </row>
    <row r="14" spans="1:12" s="1" customFormat="1" ht="30">
      <c r="A14" s="11">
        <v>3</v>
      </c>
      <c r="B14" s="689" t="s">
        <v>133</v>
      </c>
      <c r="C14" s="27">
        <v>10</v>
      </c>
      <c r="D14" s="24" t="s">
        <v>94</v>
      </c>
      <c r="E14" s="24">
        <f>E12-E13</f>
        <v>69712930664</v>
      </c>
      <c r="F14" s="24">
        <f>F12</f>
        <v>988154000</v>
      </c>
      <c r="G14" s="24">
        <f>G12</f>
        <v>1630897851</v>
      </c>
      <c r="H14" s="24"/>
      <c r="I14" s="18">
        <f>I12-I13</f>
        <v>71343828515</v>
      </c>
      <c r="J14" s="18">
        <f>J12-J13</f>
        <v>89423941069</v>
      </c>
      <c r="K14" s="18">
        <f>K12-K13</f>
        <v>169658174696</v>
      </c>
      <c r="L14" s="18">
        <f>L12-L13</f>
        <v>198135967522</v>
      </c>
    </row>
    <row r="15" spans="1:12" ht="16.5">
      <c r="A15" s="10">
        <v>4</v>
      </c>
      <c r="B15" s="688" t="s">
        <v>134</v>
      </c>
      <c r="C15" s="26">
        <v>11</v>
      </c>
      <c r="D15" s="23" t="s">
        <v>95</v>
      </c>
      <c r="E15" s="591">
        <v>47801083890</v>
      </c>
      <c r="F15" s="23">
        <v>499418148</v>
      </c>
      <c r="G15" s="23">
        <f>110850.66*20900</f>
        <v>2316778794</v>
      </c>
      <c r="H15" s="23"/>
      <c r="I15" s="684">
        <f>SUM(E15:H15)-F15</f>
        <v>50117862684</v>
      </c>
      <c r="J15" s="20">
        <f>59882593414+436575012+4581186385</f>
        <v>64900354811</v>
      </c>
      <c r="K15" s="62">
        <f>69350693700+I15</f>
        <v>119468556384</v>
      </c>
      <c r="L15" s="20">
        <f>130488468055+9166187475+3007245187-500000000</f>
        <v>142161900717</v>
      </c>
    </row>
    <row r="16" spans="1:12" s="1" customFormat="1" ht="30">
      <c r="A16" s="11">
        <v>5</v>
      </c>
      <c r="B16" s="689" t="s">
        <v>135</v>
      </c>
      <c r="C16" s="27">
        <v>20</v>
      </c>
      <c r="D16" s="24" t="s">
        <v>96</v>
      </c>
      <c r="E16" s="24">
        <f aca="true" t="shared" si="1" ref="E16:L16">E14-E15</f>
        <v>21911846774</v>
      </c>
      <c r="F16" s="24">
        <f t="shared" si="1"/>
        <v>488735852</v>
      </c>
      <c r="G16" s="24">
        <f t="shared" si="1"/>
        <v>-685880943</v>
      </c>
      <c r="H16" s="24">
        <f t="shared" si="1"/>
        <v>0</v>
      </c>
      <c r="I16" s="18">
        <f t="shared" si="1"/>
        <v>21225965831</v>
      </c>
      <c r="J16" s="18">
        <f t="shared" si="1"/>
        <v>24523586258</v>
      </c>
      <c r="K16" s="18">
        <f t="shared" si="1"/>
        <v>50189618312</v>
      </c>
      <c r="L16" s="18">
        <f t="shared" si="1"/>
        <v>55974066805</v>
      </c>
    </row>
    <row r="17" spans="1:12" s="1" customFormat="1" ht="17.25">
      <c r="A17" s="11">
        <v>6</v>
      </c>
      <c r="B17" s="689" t="s">
        <v>136</v>
      </c>
      <c r="C17" s="27">
        <v>21</v>
      </c>
      <c r="D17" s="24" t="s">
        <v>97</v>
      </c>
      <c r="E17" s="591">
        <v>47414032</v>
      </c>
      <c r="F17" s="24">
        <v>269104</v>
      </c>
      <c r="G17" s="24">
        <f>1.34*20900</f>
        <v>28006</v>
      </c>
      <c r="H17" s="24">
        <f>1.22*20900</f>
        <v>25498</v>
      </c>
      <c r="I17" s="19">
        <f t="shared" si="0"/>
        <v>47736640</v>
      </c>
      <c r="J17" s="18">
        <f>256340628+16752203</f>
        <v>273092831</v>
      </c>
      <c r="K17" s="61">
        <f>163242950+I17</f>
        <v>210979590</v>
      </c>
      <c r="L17" s="18">
        <f>741956225+109859140+1409212</f>
        <v>853224577</v>
      </c>
    </row>
    <row r="18" spans="1:12" ht="16.5">
      <c r="A18" s="10">
        <v>7</v>
      </c>
      <c r="B18" s="688" t="s">
        <v>137</v>
      </c>
      <c r="C18" s="26">
        <v>22</v>
      </c>
      <c r="D18" s="23" t="s">
        <v>98</v>
      </c>
      <c r="E18" s="591">
        <v>1547577102</v>
      </c>
      <c r="F18" s="23">
        <v>83221364</v>
      </c>
      <c r="G18" s="23">
        <f>15778.06*20900</f>
        <v>329761454</v>
      </c>
      <c r="H18" s="23">
        <f>33.35*20900</f>
        <v>697015</v>
      </c>
      <c r="I18" s="19">
        <f t="shared" si="0"/>
        <v>1961256935</v>
      </c>
      <c r="J18" s="20">
        <f>1828449834+3333+411004818</f>
        <v>2239457985</v>
      </c>
      <c r="K18" s="62">
        <f>4215870294+I18</f>
        <v>6177127229</v>
      </c>
      <c r="L18" s="20">
        <f>4884089143+7084+993835968</f>
        <v>5877932195</v>
      </c>
    </row>
    <row r="19" spans="1:12" s="21" customFormat="1" ht="15.75">
      <c r="A19" s="28"/>
      <c r="B19" s="690" t="s">
        <v>99</v>
      </c>
      <c r="C19" s="29">
        <v>23</v>
      </c>
      <c r="D19" s="30"/>
      <c r="E19" s="591">
        <v>1541499027</v>
      </c>
      <c r="F19" s="30">
        <v>82838564</v>
      </c>
      <c r="G19" s="30">
        <f>G18</f>
        <v>329761454</v>
      </c>
      <c r="H19" s="30"/>
      <c r="I19" s="684">
        <f t="shared" si="0"/>
        <v>1954099045</v>
      </c>
      <c r="J19" s="31">
        <f>1528827699+411004818</f>
        <v>1939832517</v>
      </c>
      <c r="K19" s="63">
        <f>4014500141+I19</f>
        <v>5968599186</v>
      </c>
      <c r="L19" s="31">
        <f>3864350476+411004818</f>
        <v>4275355294</v>
      </c>
    </row>
    <row r="20" spans="1:13" s="1" customFormat="1" ht="17.25">
      <c r="A20" s="11">
        <v>8</v>
      </c>
      <c r="B20" s="689" t="s">
        <v>138</v>
      </c>
      <c r="C20" s="27">
        <v>24</v>
      </c>
      <c r="D20" s="24"/>
      <c r="E20" s="591">
        <v>16971231259</v>
      </c>
      <c r="F20" s="24">
        <v>37809030</v>
      </c>
      <c r="G20" s="24">
        <f>125*20900</f>
        <v>2612500</v>
      </c>
      <c r="H20" s="24">
        <f>1770*20900</f>
        <v>36993000</v>
      </c>
      <c r="I20" s="19">
        <f t="shared" si="0"/>
        <v>17048645789</v>
      </c>
      <c r="J20" s="18">
        <f>17378631092+201054559</f>
        <v>17579685651</v>
      </c>
      <c r="K20" s="61">
        <f>24445805590+I20</f>
        <v>41494451379</v>
      </c>
      <c r="L20" s="18">
        <f>36383079345+644087693</f>
        <v>37027167038</v>
      </c>
      <c r="M20" s="662"/>
    </row>
    <row r="21" spans="1:12" s="1" customFormat="1" ht="17.25">
      <c r="A21" s="11">
        <v>9</v>
      </c>
      <c r="B21" s="689" t="s">
        <v>139</v>
      </c>
      <c r="C21" s="27">
        <v>25</v>
      </c>
      <c r="D21" s="24"/>
      <c r="E21" s="591">
        <v>1959141406</v>
      </c>
      <c r="F21" s="24">
        <v>324660162</v>
      </c>
      <c r="G21" s="24">
        <f>38016.8*20900</f>
        <v>794551120.0000001</v>
      </c>
      <c r="H21" s="24">
        <f>5834.02*20900</f>
        <v>121931018.00000001</v>
      </c>
      <c r="I21" s="684">
        <f t="shared" si="0"/>
        <v>3200283706</v>
      </c>
      <c r="J21" s="18">
        <f>2827190420+336365763+722973134</f>
        <v>3886529317</v>
      </c>
      <c r="K21" s="61">
        <f>6563892017+I21</f>
        <v>9764175723</v>
      </c>
      <c r="L21" s="18">
        <f>7043499517+743596919+1737213089</f>
        <v>9524309525</v>
      </c>
    </row>
    <row r="22" spans="1:12" s="1" customFormat="1" ht="30">
      <c r="A22" s="11">
        <v>10</v>
      </c>
      <c r="B22" s="689" t="s">
        <v>140</v>
      </c>
      <c r="C22" s="27">
        <v>30</v>
      </c>
      <c r="D22" s="24"/>
      <c r="E22" s="24">
        <f aca="true" t="shared" si="2" ref="E22:L22">E16+E17-E18-E20-E21</f>
        <v>1481311039</v>
      </c>
      <c r="F22" s="24">
        <f t="shared" si="2"/>
        <v>43314400</v>
      </c>
      <c r="G22" s="24">
        <f t="shared" si="2"/>
        <v>-1812778011</v>
      </c>
      <c r="H22" s="24">
        <f t="shared" si="2"/>
        <v>-159595535</v>
      </c>
      <c r="I22" s="18">
        <f t="shared" si="2"/>
        <v>-936483959</v>
      </c>
      <c r="J22" s="18">
        <f t="shared" si="2"/>
        <v>1091006136</v>
      </c>
      <c r="K22" s="18">
        <f t="shared" si="2"/>
        <v>-7035156429</v>
      </c>
      <c r="L22" s="18">
        <f t="shared" si="2"/>
        <v>4397882624</v>
      </c>
    </row>
    <row r="23" spans="1:12" s="1" customFormat="1" ht="17.25">
      <c r="A23" s="10">
        <v>11</v>
      </c>
      <c r="B23" s="688" t="s">
        <v>141</v>
      </c>
      <c r="C23" s="26">
        <v>31</v>
      </c>
      <c r="D23" s="24"/>
      <c r="E23" s="591">
        <v>22760000</v>
      </c>
      <c r="F23" s="24"/>
      <c r="G23" s="24">
        <f>173*20900</f>
        <v>3615700</v>
      </c>
      <c r="H23" s="24"/>
      <c r="I23" s="684">
        <f t="shared" si="0"/>
        <v>26375700</v>
      </c>
      <c r="J23" s="20">
        <f>38358181+59227104+16833872</f>
        <v>114419157</v>
      </c>
      <c r="K23" s="62">
        <f>795392398+I23</f>
        <v>821768098</v>
      </c>
      <c r="L23" s="20">
        <f>1790280425+224328428+27250872</f>
        <v>2041859725</v>
      </c>
    </row>
    <row r="24" spans="1:12" s="1" customFormat="1" ht="17.25">
      <c r="A24" s="10">
        <v>12</v>
      </c>
      <c r="B24" s="688" t="s">
        <v>142</v>
      </c>
      <c r="C24" s="26">
        <v>32</v>
      </c>
      <c r="D24" s="24"/>
      <c r="E24" s="591">
        <v>257980</v>
      </c>
      <c r="F24" s="24">
        <v>26453940</v>
      </c>
      <c r="G24" s="24"/>
      <c r="H24" s="24"/>
      <c r="I24" s="684">
        <f t="shared" si="0"/>
        <v>26711920</v>
      </c>
      <c r="J24" s="20">
        <f>39914658+20834</f>
        <v>39935492</v>
      </c>
      <c r="K24" s="62">
        <f>1308025063+I24</f>
        <v>1334736983</v>
      </c>
      <c r="L24" s="20">
        <f>109239272+106727165+2307366</f>
        <v>218273803</v>
      </c>
    </row>
    <row r="25" spans="1:12" s="1" customFormat="1" ht="17.25">
      <c r="A25" s="11">
        <v>13</v>
      </c>
      <c r="B25" s="689" t="s">
        <v>143</v>
      </c>
      <c r="C25" s="27">
        <v>40</v>
      </c>
      <c r="D25" s="24"/>
      <c r="E25" s="24">
        <f aca="true" t="shared" si="3" ref="E25:L25">E23-E24</f>
        <v>22502020</v>
      </c>
      <c r="F25" s="24">
        <f t="shared" si="3"/>
        <v>-26453940</v>
      </c>
      <c r="G25" s="24">
        <f t="shared" si="3"/>
        <v>3615700</v>
      </c>
      <c r="H25" s="24">
        <f t="shared" si="3"/>
        <v>0</v>
      </c>
      <c r="I25" s="18">
        <f t="shared" si="3"/>
        <v>-336220</v>
      </c>
      <c r="J25" s="18">
        <f t="shared" si="3"/>
        <v>74483665</v>
      </c>
      <c r="K25" s="18">
        <f t="shared" si="3"/>
        <v>-512968885</v>
      </c>
      <c r="L25" s="18">
        <f t="shared" si="3"/>
        <v>1823585922</v>
      </c>
    </row>
    <row r="26" spans="1:13" s="1" customFormat="1" ht="17.25">
      <c r="A26" s="11">
        <v>14</v>
      </c>
      <c r="B26" s="689" t="s">
        <v>144</v>
      </c>
      <c r="C26" s="27">
        <v>50</v>
      </c>
      <c r="D26" s="24"/>
      <c r="E26" s="24">
        <f aca="true" t="shared" si="4" ref="E26:L26">E22+E25</f>
        <v>1503813059</v>
      </c>
      <c r="F26" s="24">
        <f t="shared" si="4"/>
        <v>16860460</v>
      </c>
      <c r="G26" s="24">
        <f t="shared" si="4"/>
        <v>-1809162311</v>
      </c>
      <c r="H26" s="24">
        <f t="shared" si="4"/>
        <v>-159595535</v>
      </c>
      <c r="I26" s="54">
        <f t="shared" si="4"/>
        <v>-936820179</v>
      </c>
      <c r="J26" s="54">
        <f t="shared" si="4"/>
        <v>1165489801</v>
      </c>
      <c r="K26" s="54">
        <f t="shared" si="4"/>
        <v>-7548125314</v>
      </c>
      <c r="L26" s="54">
        <f t="shared" si="4"/>
        <v>6221468546</v>
      </c>
      <c r="M26" s="40"/>
    </row>
    <row r="27" spans="1:12" ht="16.5">
      <c r="A27" s="10">
        <v>15</v>
      </c>
      <c r="B27" s="688" t="s">
        <v>100</v>
      </c>
      <c r="C27" s="26">
        <v>51</v>
      </c>
      <c r="D27" s="23" t="s">
        <v>101</v>
      </c>
      <c r="E27" s="591">
        <v>225571958</v>
      </c>
      <c r="F27" s="23"/>
      <c r="G27" s="23"/>
      <c r="H27" s="23"/>
      <c r="I27" s="684">
        <f t="shared" si="0"/>
        <v>225571958</v>
      </c>
      <c r="J27" s="20">
        <f>J26*15%</f>
        <v>174823470.15</v>
      </c>
      <c r="K27" s="62">
        <f>60741304+I27</f>
        <v>286313262</v>
      </c>
      <c r="L27" s="20">
        <f>L26*15%</f>
        <v>933220281.9</v>
      </c>
    </row>
    <row r="28" spans="1:12" ht="16.5">
      <c r="A28" s="10">
        <v>16</v>
      </c>
      <c r="B28" s="688" t="s">
        <v>102</v>
      </c>
      <c r="C28" s="26">
        <v>52</v>
      </c>
      <c r="D28" s="23"/>
      <c r="E28" s="23"/>
      <c r="F28" s="23"/>
      <c r="G28" s="23"/>
      <c r="H28" s="23"/>
      <c r="I28" s="19">
        <f t="shared" si="0"/>
        <v>0</v>
      </c>
      <c r="J28" s="20"/>
      <c r="K28" s="20"/>
      <c r="L28" s="20"/>
    </row>
    <row r="29" spans="1:12" s="1" customFormat="1" ht="30">
      <c r="A29" s="11">
        <v>17</v>
      </c>
      <c r="B29" s="689" t="s">
        <v>145</v>
      </c>
      <c r="C29" s="27">
        <v>60</v>
      </c>
      <c r="D29" s="24"/>
      <c r="E29" s="24">
        <f aca="true" t="shared" si="5" ref="E29:L29">E26-E27</f>
        <v>1278241101</v>
      </c>
      <c r="F29" s="24">
        <f t="shared" si="5"/>
        <v>16860460</v>
      </c>
      <c r="G29" s="24">
        <f t="shared" si="5"/>
        <v>-1809162311</v>
      </c>
      <c r="H29" s="24">
        <f t="shared" si="5"/>
        <v>-159595535</v>
      </c>
      <c r="I29" s="18">
        <f t="shared" si="5"/>
        <v>-1162392137</v>
      </c>
      <c r="J29" s="18">
        <f t="shared" si="5"/>
        <v>990666330.85</v>
      </c>
      <c r="K29" s="18">
        <f t="shared" si="5"/>
        <v>-7834438576</v>
      </c>
      <c r="L29" s="18">
        <f t="shared" si="5"/>
        <v>5288248264.1</v>
      </c>
    </row>
    <row r="30" spans="1:12" s="1" customFormat="1" ht="17.25">
      <c r="A30" s="32">
        <v>18</v>
      </c>
      <c r="B30" s="691" t="s">
        <v>146</v>
      </c>
      <c r="C30" s="33">
        <v>70</v>
      </c>
      <c r="D30" s="34"/>
      <c r="E30" s="34"/>
      <c r="F30" s="34"/>
      <c r="G30" s="34"/>
      <c r="H30" s="34"/>
      <c r="I30" s="35"/>
      <c r="J30" s="35"/>
      <c r="K30" s="35"/>
      <c r="L30" s="592"/>
    </row>
    <row r="31" spans="2:12" ht="16.5">
      <c r="B31" s="692"/>
      <c r="C31" s="3"/>
      <c r="D31" s="17"/>
      <c r="E31" s="17"/>
      <c r="F31" s="17"/>
      <c r="G31" s="13"/>
      <c r="H31" s="13"/>
      <c r="I31" s="7"/>
      <c r="J31" s="5"/>
      <c r="K31" s="714" t="s">
        <v>1076</v>
      </c>
      <c r="L31" s="714"/>
    </row>
    <row r="32" spans="2:12" ht="16.5">
      <c r="B32" s="693" t="s">
        <v>1063</v>
      </c>
      <c r="C32" s="16"/>
      <c r="G32" s="599"/>
      <c r="I32" s="658" t="s">
        <v>1067</v>
      </c>
      <c r="J32" s="53"/>
      <c r="K32" s="706" t="s">
        <v>1062</v>
      </c>
      <c r="L32" s="706"/>
    </row>
    <row r="33" ht="16.5">
      <c r="K33" s="55"/>
    </row>
    <row r="34" spans="2:11" ht="16.5">
      <c r="B34" s="695"/>
      <c r="C34" s="12"/>
      <c r="G34" s="599"/>
      <c r="I34" s="56"/>
      <c r="J34" s="56"/>
      <c r="K34" s="52"/>
    </row>
    <row r="35" ht="16.5">
      <c r="K35" s="55"/>
    </row>
    <row r="36" ht="16.5">
      <c r="K36" s="55"/>
    </row>
    <row r="37" spans="2:12" ht="16.5">
      <c r="B37" s="695"/>
      <c r="C37" s="12"/>
      <c r="F37" s="16"/>
      <c r="G37" s="595"/>
      <c r="H37" s="595"/>
      <c r="I37" s="596" t="s">
        <v>1060</v>
      </c>
      <c r="J37" s="597"/>
      <c r="K37" s="707" t="s">
        <v>1061</v>
      </c>
      <c r="L37" s="707"/>
    </row>
    <row r="39" ht="16.5">
      <c r="K39" s="55"/>
    </row>
    <row r="40" ht="16.5">
      <c r="K40" s="55"/>
    </row>
    <row r="41" ht="16.5">
      <c r="K41" s="55"/>
    </row>
    <row r="42" ht="16.5">
      <c r="K42" s="55"/>
    </row>
    <row r="43" ht="16.5">
      <c r="K43" s="55"/>
    </row>
    <row r="44" ht="16.5">
      <c r="K44" s="55"/>
    </row>
    <row r="45" ht="16.5">
      <c r="K45" s="55"/>
    </row>
    <row r="46" ht="16.5">
      <c r="K46" s="55"/>
    </row>
  </sheetData>
  <sheetProtection/>
  <mergeCells count="19">
    <mergeCell ref="B5:L5"/>
    <mergeCell ref="B6:L6"/>
    <mergeCell ref="A9:A11"/>
    <mergeCell ref="B9:B11"/>
    <mergeCell ref="C9:C11"/>
    <mergeCell ref="D9:D11"/>
    <mergeCell ref="E9:E11"/>
    <mergeCell ref="F9:F11"/>
    <mergeCell ref="I10:I11"/>
    <mergeCell ref="J10:J11"/>
    <mergeCell ref="K32:L32"/>
    <mergeCell ref="K37:L37"/>
    <mergeCell ref="G9:G11"/>
    <mergeCell ref="H9:H11"/>
    <mergeCell ref="I9:J9"/>
    <mergeCell ref="K9:L9"/>
    <mergeCell ref="K10:K11"/>
    <mergeCell ref="L10:L11"/>
    <mergeCell ref="K31:L31"/>
  </mergeCells>
  <printOptions/>
  <pageMargins left="0" right="0" top="0.31" bottom="0" header="0.58" footer="0"/>
  <pageSetup horizontalDpi="600" verticalDpi="600" orientation="portrait" paperSize="9" scale="87"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tabColor rgb="FFFF0000"/>
  </sheetPr>
  <dimension ref="A1:R92"/>
  <sheetViews>
    <sheetView zoomScalePageLayoutView="0" workbookViewId="0" topLeftCell="A1">
      <selection activeCell="N70" sqref="N70"/>
    </sheetView>
  </sheetViews>
  <sheetFormatPr defaultColWidth="9.625" defaultRowHeight="12.75"/>
  <cols>
    <col min="1" max="1" width="6.125" style="613" customWidth="1"/>
    <col min="2" max="2" width="43.625" style="613" customWidth="1"/>
    <col min="3" max="3" width="6.875" style="613" bestFit="1" customWidth="1"/>
    <col min="4" max="4" width="12.75390625" style="613" bestFit="1" customWidth="1"/>
    <col min="5" max="5" width="16.875" style="613" hidden="1" customWidth="1"/>
    <col min="6" max="6" width="14.375" style="613" hidden="1" customWidth="1"/>
    <col min="7" max="8" width="16.875" style="649" hidden="1" customWidth="1"/>
    <col min="9" max="10" width="16.875" style="613" hidden="1" customWidth="1"/>
    <col min="11" max="11" width="20.00390625" style="642" bestFit="1" customWidth="1"/>
    <col min="12" max="12" width="16.625" style="642" bestFit="1" customWidth="1"/>
    <col min="13" max="13" width="17.75390625" style="613" bestFit="1" customWidth="1"/>
    <col min="14" max="14" width="10.25390625" style="613" bestFit="1" customWidth="1"/>
    <col min="15" max="16384" width="9.625" style="613" customWidth="1"/>
  </cols>
  <sheetData>
    <row r="1" spans="1:13" s="607" customFormat="1" ht="17.25">
      <c r="A1" s="319" t="s">
        <v>105</v>
      </c>
      <c r="G1" s="608"/>
      <c r="H1" s="608"/>
      <c r="K1" s="609" t="s">
        <v>185</v>
      </c>
      <c r="L1" s="610"/>
      <c r="M1" s="611"/>
    </row>
    <row r="2" spans="1:13" s="607" customFormat="1" ht="14.25" customHeight="1">
      <c r="A2" s="319" t="s">
        <v>9</v>
      </c>
      <c r="G2" s="608"/>
      <c r="H2" s="608"/>
      <c r="M2" s="610"/>
    </row>
    <row r="3" spans="1:13" s="607" customFormat="1" ht="14.25" customHeight="1">
      <c r="A3" s="612"/>
      <c r="G3" s="608"/>
      <c r="H3" s="608"/>
      <c r="K3" s="609"/>
      <c r="M3" s="610"/>
    </row>
    <row r="4" spans="2:12" ht="16.5">
      <c r="B4" s="726" t="s">
        <v>106</v>
      </c>
      <c r="C4" s="726"/>
      <c r="D4" s="726"/>
      <c r="E4" s="726"/>
      <c r="F4" s="726"/>
      <c r="G4" s="726"/>
      <c r="H4" s="726"/>
      <c r="I4" s="726"/>
      <c r="J4" s="726"/>
      <c r="K4" s="726"/>
      <c r="L4" s="726"/>
    </row>
    <row r="5" spans="2:12" ht="16.5">
      <c r="B5" s="728" t="s">
        <v>1048</v>
      </c>
      <c r="C5" s="728"/>
      <c r="D5" s="728"/>
      <c r="E5" s="728"/>
      <c r="F5" s="728"/>
      <c r="G5" s="728"/>
      <c r="H5" s="728"/>
      <c r="I5" s="728"/>
      <c r="J5" s="728"/>
      <c r="K5" s="728"/>
      <c r="L5" s="728"/>
    </row>
    <row r="6" spans="2:12" s="614" customFormat="1" ht="15.75">
      <c r="B6" s="396"/>
      <c r="C6" s="396"/>
      <c r="D6" s="396"/>
      <c r="E6" s="396"/>
      <c r="F6" s="396"/>
      <c r="G6" s="615"/>
      <c r="H6" s="615"/>
      <c r="I6" s="396"/>
      <c r="J6" s="396"/>
      <c r="K6" s="616"/>
      <c r="L6" s="617" t="s">
        <v>107</v>
      </c>
    </row>
    <row r="7" spans="1:12" ht="19.5" customHeight="1">
      <c r="A7" s="723" t="s">
        <v>122</v>
      </c>
      <c r="B7" s="723" t="s">
        <v>123</v>
      </c>
      <c r="C7" s="723" t="s">
        <v>190</v>
      </c>
      <c r="D7" s="723" t="s">
        <v>191</v>
      </c>
      <c r="E7" s="723" t="s">
        <v>1040</v>
      </c>
      <c r="F7" s="723" t="s">
        <v>1041</v>
      </c>
      <c r="G7" s="724" t="s">
        <v>1042</v>
      </c>
      <c r="H7" s="724" t="s">
        <v>1043</v>
      </c>
      <c r="I7" s="723" t="s">
        <v>1044</v>
      </c>
      <c r="J7" s="723"/>
      <c r="K7" s="729" t="s">
        <v>1047</v>
      </c>
      <c r="L7" s="725" t="s">
        <v>1072</v>
      </c>
    </row>
    <row r="8" spans="1:12" ht="23.25" customHeight="1">
      <c r="A8" s="723"/>
      <c r="B8" s="723"/>
      <c r="C8" s="723"/>
      <c r="D8" s="723"/>
      <c r="E8" s="723"/>
      <c r="F8" s="723"/>
      <c r="G8" s="724"/>
      <c r="H8" s="724"/>
      <c r="I8" s="618" t="s">
        <v>1045</v>
      </c>
      <c r="J8" s="618" t="s">
        <v>1046</v>
      </c>
      <c r="K8" s="730"/>
      <c r="L8" s="725"/>
    </row>
    <row r="9" spans="1:12" ht="19.5" customHeight="1">
      <c r="A9" s="619"/>
      <c r="B9" s="619" t="s">
        <v>66</v>
      </c>
      <c r="C9" s="619"/>
      <c r="D9" s="619"/>
      <c r="E9" s="619"/>
      <c r="F9" s="619"/>
      <c r="G9" s="620"/>
      <c r="H9" s="620"/>
      <c r="I9" s="619"/>
      <c r="J9" s="619"/>
      <c r="K9" s="621"/>
      <c r="L9" s="621"/>
    </row>
    <row r="10" spans="1:12" ht="16.5">
      <c r="A10" s="622" t="s">
        <v>186</v>
      </c>
      <c r="B10" s="623" t="s">
        <v>187</v>
      </c>
      <c r="C10" s="622">
        <v>100</v>
      </c>
      <c r="D10" s="622"/>
      <c r="E10" s="624">
        <f>E11+E13+E16+E21+E24</f>
        <v>154021577453</v>
      </c>
      <c r="F10" s="624">
        <f>F11+F13+F16+F21+F24</f>
        <v>1051250082</v>
      </c>
      <c r="G10" s="625">
        <f>G11+G13+G16+G21+G24</f>
        <v>1209817609</v>
      </c>
      <c r="H10" s="625">
        <f>H11+H13+H16+H21+H24</f>
        <v>2960233155</v>
      </c>
      <c r="I10" s="622"/>
      <c r="J10" s="622"/>
      <c r="K10" s="624">
        <f>K11+K13+K16+K21+K24</f>
        <v>158531510838</v>
      </c>
      <c r="L10" s="624">
        <f>L11+L13+L16+L21+L24</f>
        <v>178202248891</v>
      </c>
    </row>
    <row r="11" spans="1:12" s="607" customFormat="1" ht="17.25">
      <c r="A11" s="622" t="s">
        <v>124</v>
      </c>
      <c r="B11" s="623" t="s">
        <v>188</v>
      </c>
      <c r="C11" s="622">
        <v>110</v>
      </c>
      <c r="D11" s="622"/>
      <c r="E11" s="624">
        <f>SUM(E12)</f>
        <v>2858455389</v>
      </c>
      <c r="F11" s="624">
        <f>SUM(F12)</f>
        <v>65604194</v>
      </c>
      <c r="G11" s="625">
        <f>SUM(G12)</f>
        <v>275604747</v>
      </c>
      <c r="H11" s="625">
        <f>SUM(H12)</f>
        <v>56018688</v>
      </c>
      <c r="I11" s="622"/>
      <c r="J11" s="622"/>
      <c r="K11" s="624">
        <f>SUM(K12)</f>
        <v>3255683018</v>
      </c>
      <c r="L11" s="624">
        <f>SUM(L12)</f>
        <v>16273228176</v>
      </c>
    </row>
    <row r="12" spans="1:12" ht="16.5">
      <c r="A12" s="626">
        <v>1</v>
      </c>
      <c r="B12" s="627" t="s">
        <v>188</v>
      </c>
      <c r="C12" s="626">
        <v>111</v>
      </c>
      <c r="D12" s="626" t="s">
        <v>192</v>
      </c>
      <c r="E12" s="588">
        <v>2858455389</v>
      </c>
      <c r="F12" s="70">
        <f>9125521+1348411+55130262</f>
        <v>65604194</v>
      </c>
      <c r="G12" s="628">
        <f>13186.83*20900</f>
        <v>275604747</v>
      </c>
      <c r="H12" s="628">
        <f>2680.32*20900</f>
        <v>56018688</v>
      </c>
      <c r="I12" s="626"/>
      <c r="J12" s="626"/>
      <c r="K12" s="598">
        <f>SUM(E12:H12)</f>
        <v>3255683018</v>
      </c>
      <c r="L12" s="604">
        <v>16273228176</v>
      </c>
    </row>
    <row r="13" spans="1:12" s="607" customFormat="1" ht="17.25">
      <c r="A13" s="622" t="s">
        <v>125</v>
      </c>
      <c r="B13" s="623" t="s">
        <v>189</v>
      </c>
      <c r="C13" s="622">
        <v>120</v>
      </c>
      <c r="D13" s="622"/>
      <c r="E13" s="624">
        <f>SUM(E14:E15)</f>
        <v>8725960000</v>
      </c>
      <c r="F13" s="624"/>
      <c r="G13" s="625">
        <f>SUM(G14:G15)</f>
        <v>0</v>
      </c>
      <c r="H13" s="625">
        <f>SUM(H14:H15)</f>
        <v>0</v>
      </c>
      <c r="I13" s="622"/>
      <c r="J13" s="622"/>
      <c r="K13" s="624">
        <f>SUM(K14:K15)</f>
        <v>8725960000</v>
      </c>
      <c r="L13" s="624">
        <f>SUM(L14:L15)</f>
        <v>7525960000</v>
      </c>
    </row>
    <row r="14" spans="1:12" ht="16.5">
      <c r="A14" s="626">
        <v>1</v>
      </c>
      <c r="B14" s="627" t="s">
        <v>6</v>
      </c>
      <c r="C14" s="626">
        <v>121</v>
      </c>
      <c r="D14" s="626"/>
      <c r="E14" s="588">
        <v>8725960000</v>
      </c>
      <c r="F14" s="626"/>
      <c r="G14" s="629"/>
      <c r="H14" s="629"/>
      <c r="I14" s="626"/>
      <c r="J14" s="626"/>
      <c r="K14" s="598">
        <f>SUM(E14:H14)</f>
        <v>8725960000</v>
      </c>
      <c r="L14" s="604">
        <v>7525960000</v>
      </c>
    </row>
    <row r="15" spans="1:12" ht="16.5">
      <c r="A15" s="626">
        <v>2</v>
      </c>
      <c r="B15" s="627" t="s">
        <v>7</v>
      </c>
      <c r="C15" s="626">
        <v>129</v>
      </c>
      <c r="D15" s="626"/>
      <c r="E15" s="626"/>
      <c r="F15" s="626"/>
      <c r="G15" s="629"/>
      <c r="H15" s="629"/>
      <c r="I15" s="626"/>
      <c r="J15" s="626"/>
      <c r="K15" s="604"/>
      <c r="L15" s="604"/>
    </row>
    <row r="16" spans="1:12" ht="16.5">
      <c r="A16" s="622" t="s">
        <v>126</v>
      </c>
      <c r="B16" s="623" t="s">
        <v>193</v>
      </c>
      <c r="C16" s="622">
        <v>130</v>
      </c>
      <c r="D16" s="622"/>
      <c r="E16" s="624">
        <f>SUM(E17:E20)</f>
        <v>64462450569</v>
      </c>
      <c r="F16" s="624">
        <f>SUM(F17:F20)</f>
        <v>336577456</v>
      </c>
      <c r="G16" s="625">
        <f>SUM(G17:G20)</f>
        <v>911771487</v>
      </c>
      <c r="H16" s="625">
        <f>SUM(H17:H20)</f>
        <v>1913398971</v>
      </c>
      <c r="I16" s="622"/>
      <c r="J16" s="622"/>
      <c r="K16" s="624">
        <f>SUM(K17:K20)</f>
        <v>66912831022</v>
      </c>
      <c r="L16" s="624">
        <f>SUM(L17:L20)</f>
        <v>80512767210</v>
      </c>
    </row>
    <row r="17" spans="1:13" ht="16.5">
      <c r="A17" s="626">
        <v>1</v>
      </c>
      <c r="B17" s="627" t="s">
        <v>194</v>
      </c>
      <c r="C17" s="626">
        <v>131</v>
      </c>
      <c r="D17" s="626"/>
      <c r="E17" s="588">
        <v>56771540197</v>
      </c>
      <c r="F17" s="626"/>
      <c r="G17" s="628">
        <f>29573.39*20900</f>
        <v>618083851</v>
      </c>
      <c r="H17" s="628">
        <f>112075.3*20900</f>
        <v>2342373770</v>
      </c>
      <c r="I17" s="626"/>
      <c r="J17" s="626"/>
      <c r="K17" s="58">
        <f>SUM(E17:H17)</f>
        <v>59731997818</v>
      </c>
      <c r="L17" s="604">
        <v>71986019813</v>
      </c>
      <c r="M17" s="655"/>
    </row>
    <row r="18" spans="1:12" ht="16.5">
      <c r="A18" s="626">
        <v>2</v>
      </c>
      <c r="B18" s="627" t="s">
        <v>39</v>
      </c>
      <c r="C18" s="626">
        <v>132</v>
      </c>
      <c r="D18" s="626"/>
      <c r="E18" s="588">
        <v>5573238486</v>
      </c>
      <c r="F18" s="626"/>
      <c r="G18" s="628">
        <f>8426.04*20900</f>
        <v>176104236.00000003</v>
      </c>
      <c r="H18" s="629"/>
      <c r="I18" s="626"/>
      <c r="J18" s="626"/>
      <c r="K18" s="58">
        <f>SUM(E18:H18)-711367461</f>
        <v>5037975261</v>
      </c>
      <c r="L18" s="604">
        <v>5500107576</v>
      </c>
    </row>
    <row r="19" spans="1:12" ht="16.5">
      <c r="A19" s="626">
        <v>3</v>
      </c>
      <c r="B19" s="627" t="s">
        <v>118</v>
      </c>
      <c r="C19" s="626">
        <v>135</v>
      </c>
      <c r="D19" s="626" t="s">
        <v>40</v>
      </c>
      <c r="E19" s="588">
        <v>3918640202</v>
      </c>
      <c r="F19" s="70">
        <v>336577456</v>
      </c>
      <c r="G19" s="628">
        <f>5626*20900</f>
        <v>117583400</v>
      </c>
      <c r="H19" s="628">
        <f>7913.7*20900</f>
        <v>165396330</v>
      </c>
      <c r="I19" s="626"/>
      <c r="J19" s="626"/>
      <c r="K19" s="598">
        <f>SUM(E19:H19)</f>
        <v>4538197388</v>
      </c>
      <c r="L19" s="604">
        <v>4444686146</v>
      </c>
    </row>
    <row r="20" spans="1:13" ht="16.5">
      <c r="A20" s="626">
        <v>4</v>
      </c>
      <c r="B20" s="627" t="s">
        <v>11</v>
      </c>
      <c r="C20" s="626">
        <v>139</v>
      </c>
      <c r="D20" s="626"/>
      <c r="E20" s="70">
        <v>-1800968316</v>
      </c>
      <c r="F20" s="626"/>
      <c r="G20" s="629"/>
      <c r="H20" s="628">
        <f>-28438.81*20900</f>
        <v>-594371129</v>
      </c>
      <c r="I20" s="626"/>
      <c r="J20" s="626"/>
      <c r="K20" s="598">
        <f>SUM(E20:H20)</f>
        <v>-2395339445</v>
      </c>
      <c r="L20" s="604">
        <v>-1418046325</v>
      </c>
      <c r="M20" s="655"/>
    </row>
    <row r="21" spans="1:12" ht="16.5">
      <c r="A21" s="622" t="s">
        <v>128</v>
      </c>
      <c r="B21" s="623" t="s">
        <v>41</v>
      </c>
      <c r="C21" s="622">
        <v>140</v>
      </c>
      <c r="D21" s="622" t="s">
        <v>42</v>
      </c>
      <c r="E21" s="624">
        <f>SUM(E22:E23)</f>
        <v>62109918197</v>
      </c>
      <c r="F21" s="624">
        <f>SUM(F22:F23)</f>
        <v>576326432</v>
      </c>
      <c r="G21" s="625">
        <f>SUM(G22:G23)</f>
        <v>2168375</v>
      </c>
      <c r="H21" s="625">
        <f>SUM(H22:H23)</f>
        <v>982172092</v>
      </c>
      <c r="I21" s="622"/>
      <c r="J21" s="622"/>
      <c r="K21" s="624">
        <f>SUM(K22:K23)</f>
        <v>63670585096</v>
      </c>
      <c r="L21" s="624">
        <f>SUM(L22:L23)</f>
        <v>50129212684</v>
      </c>
    </row>
    <row r="22" spans="1:13" ht="16.5">
      <c r="A22" s="626">
        <v>1</v>
      </c>
      <c r="B22" s="627" t="s">
        <v>41</v>
      </c>
      <c r="C22" s="626">
        <v>141</v>
      </c>
      <c r="D22" s="626"/>
      <c r="E22" s="588">
        <v>62846963432</v>
      </c>
      <c r="F22" s="70">
        <v>576326432</v>
      </c>
      <c r="G22" s="628">
        <f>103.75*20900</f>
        <v>2168375</v>
      </c>
      <c r="H22" s="628">
        <f>46993.88*20900</f>
        <v>982172092</v>
      </c>
      <c r="I22" s="626"/>
      <c r="J22" s="626"/>
      <c r="K22" s="598">
        <f>SUM(E22:H22)</f>
        <v>64407630331</v>
      </c>
      <c r="L22" s="604">
        <v>50866257919</v>
      </c>
      <c r="M22" s="655"/>
    </row>
    <row r="23" spans="1:13" ht="16.5">
      <c r="A23" s="626">
        <v>2</v>
      </c>
      <c r="B23" s="627" t="s">
        <v>12</v>
      </c>
      <c r="C23" s="626">
        <v>149</v>
      </c>
      <c r="D23" s="626"/>
      <c r="E23" s="70">
        <v>-737045235</v>
      </c>
      <c r="F23" s="626"/>
      <c r="G23" s="629"/>
      <c r="H23" s="629"/>
      <c r="I23" s="626"/>
      <c r="J23" s="626"/>
      <c r="K23" s="598">
        <f>SUM(E23:H23)</f>
        <v>-737045235</v>
      </c>
      <c r="L23" s="604">
        <v>-737045235</v>
      </c>
      <c r="M23" s="655"/>
    </row>
    <row r="24" spans="1:12" ht="16.5">
      <c r="A24" s="622" t="s">
        <v>129</v>
      </c>
      <c r="B24" s="623" t="s">
        <v>152</v>
      </c>
      <c r="C24" s="622">
        <v>150</v>
      </c>
      <c r="D24" s="622"/>
      <c r="E24" s="624">
        <f>SUM(E25:E28)</f>
        <v>15864793298</v>
      </c>
      <c r="F24" s="625">
        <f>SUM(F25:F28)</f>
        <v>72742000</v>
      </c>
      <c r="G24" s="625">
        <f>SUM(G25:G28)</f>
        <v>20273000</v>
      </c>
      <c r="H24" s="625">
        <f>SUM(H25:H28)</f>
        <v>8643404</v>
      </c>
      <c r="I24" s="622"/>
      <c r="J24" s="622"/>
      <c r="K24" s="624">
        <f>SUM(K25:K28)</f>
        <v>15966451702</v>
      </c>
      <c r="L24" s="624">
        <f>SUM(L25:L28)</f>
        <v>23761080821</v>
      </c>
    </row>
    <row r="25" spans="1:13" ht="16.5">
      <c r="A25" s="626">
        <v>1</v>
      </c>
      <c r="B25" s="627" t="s">
        <v>43</v>
      </c>
      <c r="C25" s="626">
        <v>151</v>
      </c>
      <c r="D25" s="626"/>
      <c r="E25" s="588">
        <v>201931230</v>
      </c>
      <c r="F25" s="626"/>
      <c r="G25" s="629"/>
      <c r="H25" s="629"/>
      <c r="I25" s="626"/>
      <c r="J25" s="626"/>
      <c r="K25" s="598">
        <f>SUM(E25:H25)</f>
        <v>201931230</v>
      </c>
      <c r="L25" s="604">
        <v>144628574</v>
      </c>
      <c r="M25" s="654"/>
    </row>
    <row r="26" spans="1:12" ht="16.5">
      <c r="A26" s="626">
        <v>2</v>
      </c>
      <c r="B26" s="627" t="s">
        <v>44</v>
      </c>
      <c r="C26" s="626">
        <v>152</v>
      </c>
      <c r="D26" s="626"/>
      <c r="E26" s="588">
        <v>55862393</v>
      </c>
      <c r="F26" s="626"/>
      <c r="G26" s="629"/>
      <c r="H26" s="629"/>
      <c r="I26" s="626"/>
      <c r="J26" s="626"/>
      <c r="K26" s="598">
        <f>SUM(E26:H26)</f>
        <v>55862393</v>
      </c>
      <c r="L26" s="604">
        <v>1202964231</v>
      </c>
    </row>
    <row r="27" spans="1:12" ht="16.5">
      <c r="A27" s="626">
        <v>3</v>
      </c>
      <c r="B27" s="627" t="s">
        <v>108</v>
      </c>
      <c r="C27" s="626">
        <v>154</v>
      </c>
      <c r="D27" s="626"/>
      <c r="E27" s="626"/>
      <c r="F27" s="70">
        <v>18000000</v>
      </c>
      <c r="G27" s="629"/>
      <c r="H27" s="628">
        <f>413.56*20900</f>
        <v>8643404</v>
      </c>
      <c r="I27" s="626"/>
      <c r="J27" s="626"/>
      <c r="K27" s="598">
        <f>SUM(E27:H27)</f>
        <v>26643404</v>
      </c>
      <c r="L27" s="604">
        <v>8613627</v>
      </c>
    </row>
    <row r="28" spans="1:12" ht="16.5">
      <c r="A28" s="626">
        <v>4</v>
      </c>
      <c r="B28" s="627" t="s">
        <v>152</v>
      </c>
      <c r="C28" s="626">
        <v>158</v>
      </c>
      <c r="D28" s="626" t="s">
        <v>45</v>
      </c>
      <c r="E28" s="588">
        <v>15606999675</v>
      </c>
      <c r="F28" s="589">
        <f>10000000+44742000</f>
        <v>54742000</v>
      </c>
      <c r="G28" s="628">
        <f>970*20900</f>
        <v>20273000</v>
      </c>
      <c r="H28" s="629"/>
      <c r="I28" s="626"/>
      <c r="J28" s="626"/>
      <c r="K28" s="598">
        <f>SUM(E28:H28)</f>
        <v>15682014675</v>
      </c>
      <c r="L28" s="604">
        <v>22404874389</v>
      </c>
    </row>
    <row r="29" spans="1:12" s="607" customFormat="1" ht="17.25">
      <c r="A29" s="622" t="s">
        <v>46</v>
      </c>
      <c r="B29" s="623" t="s">
        <v>47</v>
      </c>
      <c r="C29" s="622">
        <v>200</v>
      </c>
      <c r="D29" s="622"/>
      <c r="E29" s="624">
        <f>E30+E32+E41+E45</f>
        <v>63632932405.82</v>
      </c>
      <c r="F29" s="624">
        <f>F30+F32+F41+F45</f>
        <v>7069707466</v>
      </c>
      <c r="G29" s="625">
        <f>G30+G32+G41+G45</f>
        <v>61756988447</v>
      </c>
      <c r="H29" s="625">
        <f>H30+H32+H41+H45</f>
        <v>13044206648</v>
      </c>
      <c r="I29" s="622"/>
      <c r="J29" s="622"/>
      <c r="K29" s="624">
        <f>K30+K32+K41+K45</f>
        <v>73947541705</v>
      </c>
      <c r="L29" s="624">
        <f>L30+L32+L41+L45</f>
        <v>69929815686</v>
      </c>
    </row>
    <row r="30" spans="1:12" s="607" customFormat="1" ht="17.25">
      <c r="A30" s="622" t="s">
        <v>124</v>
      </c>
      <c r="B30" s="623" t="s">
        <v>48</v>
      </c>
      <c r="C30" s="622">
        <v>210</v>
      </c>
      <c r="D30" s="622"/>
      <c r="E30" s="630">
        <f>E31</f>
        <v>14260484215</v>
      </c>
      <c r="F30" s="622"/>
      <c r="G30" s="631"/>
      <c r="H30" s="631"/>
      <c r="I30" s="622"/>
      <c r="J30" s="622"/>
      <c r="K30" s="624">
        <f>SUM(K31)</f>
        <v>0</v>
      </c>
      <c r="L30" s="624">
        <f>SUM(L31)</f>
        <v>0</v>
      </c>
    </row>
    <row r="31" spans="1:12" ht="16.5">
      <c r="A31" s="626">
        <v>1</v>
      </c>
      <c r="B31" s="627" t="s">
        <v>49</v>
      </c>
      <c r="C31" s="626">
        <v>212</v>
      </c>
      <c r="D31" s="626" t="s">
        <v>50</v>
      </c>
      <c r="E31" s="632">
        <v>14260484215</v>
      </c>
      <c r="F31" s="626"/>
      <c r="G31" s="629"/>
      <c r="H31" s="629"/>
      <c r="I31" s="633"/>
      <c r="J31" s="633">
        <f>E31</f>
        <v>14260484215</v>
      </c>
      <c r="K31" s="58">
        <f>SUM(E31:H31)-J31</f>
        <v>0</v>
      </c>
      <c r="L31" s="604"/>
    </row>
    <row r="32" spans="1:12" s="607" customFormat="1" ht="17.25">
      <c r="A32" s="622" t="s">
        <v>125</v>
      </c>
      <c r="B32" s="623" t="s">
        <v>51</v>
      </c>
      <c r="C32" s="622">
        <v>220</v>
      </c>
      <c r="D32" s="622"/>
      <c r="E32" s="624">
        <f>E33+E36+E39</f>
        <v>3514137392</v>
      </c>
      <c r="F32" s="624">
        <f>F33+F36+F39</f>
        <v>6775591754</v>
      </c>
      <c r="G32" s="625">
        <f>G33+G36+G39</f>
        <v>53361264495</v>
      </c>
      <c r="H32" s="625">
        <f>H33+H36+H39</f>
        <v>1598348400</v>
      </c>
      <c r="I32" s="622"/>
      <c r="J32" s="622"/>
      <c r="K32" s="624">
        <f>K33+K36+K39</f>
        <v>65249342041</v>
      </c>
      <c r="L32" s="624">
        <f>L33+L36+L39</f>
        <v>60770384434</v>
      </c>
    </row>
    <row r="33" spans="1:12" ht="16.5">
      <c r="A33" s="626">
        <v>1</v>
      </c>
      <c r="B33" s="627" t="s">
        <v>52</v>
      </c>
      <c r="C33" s="626">
        <v>221</v>
      </c>
      <c r="D33" s="626" t="s">
        <v>53</v>
      </c>
      <c r="E33" s="588">
        <f>SUM(E34:E35)</f>
        <v>2395432330</v>
      </c>
      <c r="F33" s="70">
        <f>SUM(F34:F35)</f>
        <v>6753541761</v>
      </c>
      <c r="G33" s="628">
        <f>2393883.12*20900</f>
        <v>50032157208</v>
      </c>
      <c r="H33" s="628">
        <f>4661.37*20900</f>
        <v>97422633</v>
      </c>
      <c r="I33" s="626"/>
      <c r="J33" s="626"/>
      <c r="K33" s="598">
        <f aca="true" t="shared" si="0" ref="K33:K39">SUM(E33:H33)</f>
        <v>59278553932</v>
      </c>
      <c r="L33" s="604">
        <f>SUM(L34:L35)</f>
        <v>55156794396</v>
      </c>
    </row>
    <row r="34" spans="1:13" s="637" customFormat="1" ht="15.75">
      <c r="A34" s="634"/>
      <c r="B34" s="635" t="s">
        <v>54</v>
      </c>
      <c r="C34" s="626">
        <v>222</v>
      </c>
      <c r="D34" s="634"/>
      <c r="E34" s="588">
        <v>6413139594</v>
      </c>
      <c r="F34" s="325">
        <v>7461559205</v>
      </c>
      <c r="G34" s="628">
        <f>2754486.12*20900</f>
        <v>57568759908</v>
      </c>
      <c r="H34" s="628">
        <f>11916.31*20900</f>
        <v>249050879</v>
      </c>
      <c r="I34" s="634"/>
      <c r="J34" s="634"/>
      <c r="K34" s="598">
        <f t="shared" si="0"/>
        <v>71692509586</v>
      </c>
      <c r="L34" s="636">
        <v>62958782225</v>
      </c>
      <c r="M34" s="654"/>
    </row>
    <row r="35" spans="1:13" s="637" customFormat="1" ht="15.75">
      <c r="A35" s="634"/>
      <c r="B35" s="635" t="s">
        <v>159</v>
      </c>
      <c r="C35" s="626">
        <v>223</v>
      </c>
      <c r="D35" s="634"/>
      <c r="E35" s="588">
        <v>-4017707264</v>
      </c>
      <c r="F35" s="325">
        <v>-708017444</v>
      </c>
      <c r="G35" s="628">
        <f>-360603*20900</f>
        <v>-7536602700</v>
      </c>
      <c r="H35" s="628">
        <f>-7254.94*20900</f>
        <v>-151628246</v>
      </c>
      <c r="I35" s="634"/>
      <c r="J35" s="634"/>
      <c r="K35" s="598">
        <f t="shared" si="0"/>
        <v>-12413955654</v>
      </c>
      <c r="L35" s="604">
        <v>-7801987829</v>
      </c>
      <c r="M35" s="654"/>
    </row>
    <row r="36" spans="1:12" ht="16.5">
      <c r="A36" s="626">
        <v>2</v>
      </c>
      <c r="B36" s="627" t="s">
        <v>55</v>
      </c>
      <c r="C36" s="626">
        <v>227</v>
      </c>
      <c r="D36" s="626" t="s">
        <v>56</v>
      </c>
      <c r="E36" s="70">
        <f>SUM(E37:E38)</f>
        <v>1118705062</v>
      </c>
      <c r="F36" s="70">
        <f>SUM(F37:F38)</f>
        <v>22049993</v>
      </c>
      <c r="G36" s="628">
        <f>93796*20900</f>
        <v>1960336400</v>
      </c>
      <c r="H36" s="629"/>
      <c r="I36" s="626"/>
      <c r="J36" s="626"/>
      <c r="K36" s="598">
        <f t="shared" si="0"/>
        <v>3101091455</v>
      </c>
      <c r="L36" s="604">
        <f>SUM(L37:L38)</f>
        <v>3116769804</v>
      </c>
    </row>
    <row r="37" spans="1:14" ht="16.5">
      <c r="A37" s="626"/>
      <c r="B37" s="635" t="s">
        <v>54</v>
      </c>
      <c r="C37" s="626">
        <v>228</v>
      </c>
      <c r="D37" s="626"/>
      <c r="E37" s="588">
        <v>1530868227</v>
      </c>
      <c r="F37" s="325">
        <v>39200000</v>
      </c>
      <c r="G37" s="628">
        <f>93796*20900</f>
        <v>1960336400</v>
      </c>
      <c r="H37" s="629"/>
      <c r="I37" s="626"/>
      <c r="J37" s="626"/>
      <c r="K37" s="598">
        <f t="shared" si="0"/>
        <v>3530404627</v>
      </c>
      <c r="L37" s="604">
        <v>3484451315</v>
      </c>
      <c r="M37" s="654"/>
      <c r="N37" s="637"/>
    </row>
    <row r="38" spans="1:14" ht="16.5">
      <c r="A38" s="626"/>
      <c r="B38" s="635" t="s">
        <v>159</v>
      </c>
      <c r="C38" s="626">
        <v>229</v>
      </c>
      <c r="D38" s="626"/>
      <c r="E38" s="588">
        <v>-412163165</v>
      </c>
      <c r="F38" s="325">
        <v>-17150007</v>
      </c>
      <c r="G38" s="629"/>
      <c r="H38" s="629"/>
      <c r="I38" s="626"/>
      <c r="J38" s="626"/>
      <c r="K38" s="598">
        <f t="shared" si="0"/>
        <v>-429313172</v>
      </c>
      <c r="L38" s="604">
        <v>-367681511</v>
      </c>
      <c r="M38" s="654"/>
      <c r="N38" s="637"/>
    </row>
    <row r="39" spans="1:12" ht="16.5">
      <c r="A39" s="626">
        <v>3</v>
      </c>
      <c r="B39" s="627" t="s">
        <v>57</v>
      </c>
      <c r="C39" s="626">
        <v>230</v>
      </c>
      <c r="D39" s="626" t="s">
        <v>58</v>
      </c>
      <c r="E39" s="626"/>
      <c r="F39" s="626"/>
      <c r="G39" s="628">
        <f>65491.43*20900</f>
        <v>1368770887</v>
      </c>
      <c r="H39" s="628">
        <f>71814.63*20900</f>
        <v>1500925767</v>
      </c>
      <c r="I39" s="626"/>
      <c r="J39" s="626"/>
      <c r="K39" s="598">
        <f t="shared" si="0"/>
        <v>2869696654</v>
      </c>
      <c r="L39" s="604">
        <v>2496820234</v>
      </c>
    </row>
    <row r="40" spans="1:12" s="607" customFormat="1" ht="17.25">
      <c r="A40" s="622" t="s">
        <v>126</v>
      </c>
      <c r="B40" s="623" t="s">
        <v>59</v>
      </c>
      <c r="C40" s="622">
        <v>240</v>
      </c>
      <c r="D40" s="622"/>
      <c r="E40" s="622"/>
      <c r="F40" s="622"/>
      <c r="G40" s="631"/>
      <c r="H40" s="631"/>
      <c r="I40" s="622"/>
      <c r="J40" s="622"/>
      <c r="K40" s="624"/>
      <c r="L40" s="624"/>
    </row>
    <row r="41" spans="1:12" s="607" customFormat="1" ht="17.25">
      <c r="A41" s="622" t="s">
        <v>128</v>
      </c>
      <c r="B41" s="623" t="s">
        <v>60</v>
      </c>
      <c r="C41" s="622">
        <v>250</v>
      </c>
      <c r="D41" s="622"/>
      <c r="E41" s="638">
        <f>SUM(E42:E44)</f>
        <v>45858310798.82</v>
      </c>
      <c r="F41" s="638">
        <f>SUM(F42:F44)</f>
        <v>0</v>
      </c>
      <c r="G41" s="631">
        <f>SUM(G42:G44)</f>
        <v>0</v>
      </c>
      <c r="H41" s="631">
        <f>SUM(H42:H44)</f>
        <v>11437498248</v>
      </c>
      <c r="I41" s="622"/>
      <c r="J41" s="622"/>
      <c r="K41" s="624">
        <f>SUM(K42:K44)</f>
        <v>0</v>
      </c>
      <c r="L41" s="624">
        <f>SUM(L42:L44)</f>
        <v>0</v>
      </c>
    </row>
    <row r="42" spans="1:12" ht="16.5">
      <c r="A42" s="626">
        <v>1</v>
      </c>
      <c r="B42" s="627" t="s">
        <v>61</v>
      </c>
      <c r="C42" s="626">
        <v>251</v>
      </c>
      <c r="D42" s="626" t="s">
        <v>62</v>
      </c>
      <c r="E42" s="588">
        <v>55666355442</v>
      </c>
      <c r="F42" s="626"/>
      <c r="G42" s="629"/>
      <c r="H42" s="629"/>
      <c r="I42" s="629"/>
      <c r="J42" s="629">
        <f>E42</f>
        <v>55666355442</v>
      </c>
      <c r="K42" s="58">
        <f>SUM(E42:H42)-J42</f>
        <v>0</v>
      </c>
      <c r="L42" s="604"/>
    </row>
    <row r="43" spans="1:12" ht="16.5">
      <c r="A43" s="626">
        <v>2</v>
      </c>
      <c r="B43" s="627" t="s">
        <v>8</v>
      </c>
      <c r="C43" s="626">
        <v>258</v>
      </c>
      <c r="D43" s="626"/>
      <c r="E43" s="626"/>
      <c r="F43" s="626"/>
      <c r="G43" s="629"/>
      <c r="H43" s="628">
        <f>547248.72*20900</f>
        <v>11437498248</v>
      </c>
      <c r="I43" s="629"/>
      <c r="J43" s="629">
        <f>H43</f>
        <v>11437498248</v>
      </c>
      <c r="K43" s="58">
        <f>SUM(E43:H43)-J43</f>
        <v>0</v>
      </c>
      <c r="L43" s="604"/>
    </row>
    <row r="44" spans="1:12" ht="16.5">
      <c r="A44" s="626"/>
      <c r="B44" s="491" t="s">
        <v>1050</v>
      </c>
      <c r="C44" s="626"/>
      <c r="D44" s="626"/>
      <c r="E44" s="70">
        <v>-9808044643.18</v>
      </c>
      <c r="F44" s="626"/>
      <c r="G44" s="629"/>
      <c r="H44" s="629"/>
      <c r="I44" s="633"/>
      <c r="J44" s="633">
        <f>E44</f>
        <v>-9808044643.18</v>
      </c>
      <c r="K44" s="58">
        <f>SUM(E44:H44)-J44</f>
        <v>0</v>
      </c>
      <c r="L44" s="604"/>
    </row>
    <row r="45" spans="1:12" s="607" customFormat="1" ht="17.25">
      <c r="A45" s="622" t="s">
        <v>129</v>
      </c>
      <c r="B45" s="623" t="s">
        <v>63</v>
      </c>
      <c r="C45" s="622">
        <v>260</v>
      </c>
      <c r="D45" s="622"/>
      <c r="E45" s="624">
        <f>SUM(E46:E48)</f>
        <v>0</v>
      </c>
      <c r="F45" s="624">
        <f>SUM(F46:F48)</f>
        <v>294115712</v>
      </c>
      <c r="G45" s="625">
        <f>SUM(G46:G48)</f>
        <v>8395723952.000001</v>
      </c>
      <c r="H45" s="625">
        <f>SUM(H46:H48)</f>
        <v>8360000</v>
      </c>
      <c r="I45" s="622"/>
      <c r="J45" s="622"/>
      <c r="K45" s="624">
        <f>SUM(K46:K48)</f>
        <v>8698199664</v>
      </c>
      <c r="L45" s="624">
        <f>SUM(L46:L48)</f>
        <v>9159431252</v>
      </c>
    </row>
    <row r="46" spans="1:13" ht="16.5">
      <c r="A46" s="626">
        <v>1</v>
      </c>
      <c r="B46" s="627" t="s">
        <v>65</v>
      </c>
      <c r="C46" s="626">
        <v>261</v>
      </c>
      <c r="D46" s="626" t="s">
        <v>64</v>
      </c>
      <c r="E46" s="626"/>
      <c r="F46" s="70">
        <v>294115712</v>
      </c>
      <c r="G46" s="628">
        <f>399909.28*20900</f>
        <v>8358103952.000001</v>
      </c>
      <c r="H46" s="629"/>
      <c r="I46" s="626"/>
      <c r="J46" s="626"/>
      <c r="K46" s="58">
        <f>SUM(E46:H46)</f>
        <v>8652219664</v>
      </c>
      <c r="L46" s="604">
        <v>9113609652</v>
      </c>
      <c r="M46" s="655"/>
    </row>
    <row r="47" spans="1:12" ht="16.5">
      <c r="A47" s="626">
        <v>2</v>
      </c>
      <c r="B47" s="627" t="s">
        <v>109</v>
      </c>
      <c r="C47" s="626">
        <v>262</v>
      </c>
      <c r="D47" s="626" t="s">
        <v>64</v>
      </c>
      <c r="E47" s="626"/>
      <c r="F47" s="626"/>
      <c r="G47" s="629"/>
      <c r="H47" s="629"/>
      <c r="I47" s="626"/>
      <c r="J47" s="626"/>
      <c r="K47" s="58">
        <f>SUM(E47:H47)</f>
        <v>0</v>
      </c>
      <c r="L47" s="604"/>
    </row>
    <row r="48" spans="1:12" ht="16.5">
      <c r="A48" s="626">
        <v>3</v>
      </c>
      <c r="B48" s="627" t="s">
        <v>63</v>
      </c>
      <c r="C48" s="626">
        <v>268</v>
      </c>
      <c r="D48" s="626"/>
      <c r="E48" s="626"/>
      <c r="F48" s="626"/>
      <c r="G48" s="628">
        <f>1800*20900</f>
        <v>37620000</v>
      </c>
      <c r="H48" s="628">
        <f>400*20900</f>
        <v>8360000</v>
      </c>
      <c r="I48" s="626"/>
      <c r="J48" s="626"/>
      <c r="K48" s="58">
        <f>SUM(E48:H48)</f>
        <v>45980000</v>
      </c>
      <c r="L48" s="604">
        <v>45821600</v>
      </c>
    </row>
    <row r="49" spans="1:12" ht="16.5">
      <c r="A49" s="622"/>
      <c r="B49" s="622" t="s">
        <v>127</v>
      </c>
      <c r="C49" s="622">
        <v>270</v>
      </c>
      <c r="D49" s="622"/>
      <c r="E49" s="624">
        <f>E10+E29</f>
        <v>217654509858.82</v>
      </c>
      <c r="F49" s="624">
        <f>F10+F29</f>
        <v>8120957548</v>
      </c>
      <c r="G49" s="625">
        <f>G10+G29</f>
        <v>62966806056</v>
      </c>
      <c r="H49" s="625">
        <f>H10+H29</f>
        <v>16004439803</v>
      </c>
      <c r="I49" s="622"/>
      <c r="J49" s="622"/>
      <c r="K49" s="624">
        <f>K10+K29</f>
        <v>232479052543</v>
      </c>
      <c r="L49" s="624">
        <f>L10+L29</f>
        <v>248132064577</v>
      </c>
    </row>
    <row r="50" spans="1:12" ht="16.5">
      <c r="A50" s="622"/>
      <c r="B50" s="622" t="s">
        <v>67</v>
      </c>
      <c r="C50" s="622"/>
      <c r="D50" s="622"/>
      <c r="E50" s="622"/>
      <c r="F50" s="622"/>
      <c r="G50" s="631"/>
      <c r="H50" s="631"/>
      <c r="I50" s="622"/>
      <c r="J50" s="622"/>
      <c r="K50" s="624"/>
      <c r="L50" s="624"/>
    </row>
    <row r="51" spans="1:12" s="607" customFormat="1" ht="17.25">
      <c r="A51" s="622" t="s">
        <v>186</v>
      </c>
      <c r="B51" s="623" t="s">
        <v>68</v>
      </c>
      <c r="C51" s="622">
        <v>300</v>
      </c>
      <c r="D51" s="622"/>
      <c r="E51" s="624">
        <f>E52+E61</f>
        <v>116950726262</v>
      </c>
      <c r="F51" s="624">
        <f>F52+F61</f>
        <v>4662812818</v>
      </c>
      <c r="G51" s="625">
        <f>G52+G61</f>
        <v>15096066238</v>
      </c>
      <c r="H51" s="625">
        <f>H52+H61</f>
        <v>3215986916.89</v>
      </c>
      <c r="I51" s="622"/>
      <c r="J51" s="622"/>
      <c r="K51" s="624">
        <f>K52+K61</f>
        <v>139214224773.89</v>
      </c>
      <c r="L51" s="624">
        <f>L52+L61</f>
        <v>154147720542</v>
      </c>
    </row>
    <row r="52" spans="1:12" s="607" customFormat="1" ht="17.25">
      <c r="A52" s="622" t="s">
        <v>124</v>
      </c>
      <c r="B52" s="623" t="s">
        <v>69</v>
      </c>
      <c r="C52" s="622">
        <v>310</v>
      </c>
      <c r="D52" s="622"/>
      <c r="E52" s="624">
        <f>SUM(E53:E60)</f>
        <v>108115353657</v>
      </c>
      <c r="F52" s="624">
        <f>SUM(F53:F60)</f>
        <v>4662812818</v>
      </c>
      <c r="G52" s="625">
        <f>SUM(G53:G60)</f>
        <v>15096066238</v>
      </c>
      <c r="H52" s="625">
        <f>SUM(H53:H60)</f>
        <v>3213217666.89</v>
      </c>
      <c r="I52" s="622"/>
      <c r="J52" s="622"/>
      <c r="K52" s="624">
        <f>SUM(K53:K60)</f>
        <v>130376082918.89</v>
      </c>
      <c r="L52" s="624">
        <f>SUM(L53:L60)</f>
        <v>137779509255</v>
      </c>
    </row>
    <row r="53" spans="1:13" ht="16.5">
      <c r="A53" s="626">
        <v>1</v>
      </c>
      <c r="B53" s="627" t="s">
        <v>70</v>
      </c>
      <c r="C53" s="626">
        <v>311</v>
      </c>
      <c r="D53" s="626" t="s">
        <v>71</v>
      </c>
      <c r="E53" s="588">
        <v>40504850099</v>
      </c>
      <c r="F53" s="70">
        <v>758235332</v>
      </c>
      <c r="G53" s="628">
        <f>680055*20900</f>
        <v>14213149500</v>
      </c>
      <c r="H53" s="629"/>
      <c r="I53" s="626"/>
      <c r="J53" s="626"/>
      <c r="K53" s="58">
        <f aca="true" t="shared" si="1" ref="K53:K60">SUM(E53:H53)</f>
        <v>55476234931</v>
      </c>
      <c r="L53" s="604">
        <v>49631196338</v>
      </c>
      <c r="M53" s="655"/>
    </row>
    <row r="54" spans="1:13" ht="16.5">
      <c r="A54" s="626">
        <v>2</v>
      </c>
      <c r="B54" s="627" t="s">
        <v>72</v>
      </c>
      <c r="C54" s="626">
        <v>312</v>
      </c>
      <c r="D54" s="626"/>
      <c r="E54" s="588">
        <v>14023493997</v>
      </c>
      <c r="F54" s="70">
        <v>145275880</v>
      </c>
      <c r="G54" s="628">
        <f>13697.99*20900</f>
        <v>286287991</v>
      </c>
      <c r="H54" s="639">
        <f>130080.13*20900</f>
        <v>2718674717</v>
      </c>
      <c r="I54" s="626"/>
      <c r="J54" s="626"/>
      <c r="K54" s="58">
        <f t="shared" si="1"/>
        <v>17173732585</v>
      </c>
      <c r="L54" s="604">
        <v>25042262026</v>
      </c>
      <c r="M54" s="654"/>
    </row>
    <row r="55" spans="1:12" ht="16.5">
      <c r="A55" s="626">
        <v>3</v>
      </c>
      <c r="B55" s="627" t="s">
        <v>73</v>
      </c>
      <c r="C55" s="626">
        <v>313</v>
      </c>
      <c r="D55" s="626"/>
      <c r="E55" s="588">
        <v>21022055342</v>
      </c>
      <c r="F55" s="70">
        <v>711367461</v>
      </c>
      <c r="G55" s="628">
        <f>19070.43*20900</f>
        <v>398571987</v>
      </c>
      <c r="H55" s="629"/>
      <c r="I55" s="626"/>
      <c r="J55" s="626"/>
      <c r="K55" s="58">
        <f>SUM(E55:H55)-F55</f>
        <v>21420627329</v>
      </c>
      <c r="L55" s="604">
        <v>19264086114</v>
      </c>
    </row>
    <row r="56" spans="1:12" ht="16.5">
      <c r="A56" s="626">
        <v>4</v>
      </c>
      <c r="B56" s="627" t="s">
        <v>74</v>
      </c>
      <c r="C56" s="626">
        <v>314</v>
      </c>
      <c r="D56" s="626" t="s">
        <v>75</v>
      </c>
      <c r="E56" s="588">
        <v>15215623575</v>
      </c>
      <c r="F56" s="70">
        <f>70247547+1633872</f>
        <v>71881419</v>
      </c>
      <c r="G56" s="628">
        <f>993.6*20900</f>
        <v>20766240</v>
      </c>
      <c r="H56" s="639">
        <f>7630.6521*20900</f>
        <v>159480628.89000002</v>
      </c>
      <c r="I56" s="626"/>
      <c r="J56" s="626"/>
      <c r="K56" s="58">
        <f t="shared" si="1"/>
        <v>15467751862.89</v>
      </c>
      <c r="L56" s="604">
        <v>16140060194</v>
      </c>
    </row>
    <row r="57" spans="1:12" ht="16.5">
      <c r="A57" s="626">
        <v>5</v>
      </c>
      <c r="B57" s="627" t="s">
        <v>76</v>
      </c>
      <c r="C57" s="626">
        <v>315</v>
      </c>
      <c r="D57" s="626"/>
      <c r="E57" s="588">
        <v>705800999</v>
      </c>
      <c r="F57" s="70">
        <v>58194724</v>
      </c>
      <c r="G57" s="628">
        <f>6782.8*20900</f>
        <v>141760520</v>
      </c>
      <c r="H57" s="639">
        <f>1662.97*20900</f>
        <v>34756073</v>
      </c>
      <c r="I57" s="626"/>
      <c r="J57" s="626"/>
      <c r="K57" s="58">
        <f t="shared" si="1"/>
        <v>940512316</v>
      </c>
      <c r="L57" s="604">
        <v>2638591421</v>
      </c>
    </row>
    <row r="58" spans="1:12" ht="16.5">
      <c r="A58" s="626">
        <v>6</v>
      </c>
      <c r="B58" s="627" t="s">
        <v>77</v>
      </c>
      <c r="C58" s="626">
        <v>316</v>
      </c>
      <c r="D58" s="626"/>
      <c r="E58" s="626"/>
      <c r="F58" s="626"/>
      <c r="G58" s="629"/>
      <c r="H58" s="629"/>
      <c r="I58" s="626"/>
      <c r="J58" s="626"/>
      <c r="K58" s="58">
        <f t="shared" si="1"/>
        <v>0</v>
      </c>
      <c r="L58" s="604"/>
    </row>
    <row r="59" spans="1:12" ht="16.5">
      <c r="A59" s="626">
        <v>7</v>
      </c>
      <c r="B59" s="627" t="s">
        <v>78</v>
      </c>
      <c r="C59" s="626">
        <v>319</v>
      </c>
      <c r="D59" s="626" t="s">
        <v>79</v>
      </c>
      <c r="E59" s="588">
        <v>15833518146</v>
      </c>
      <c r="F59" s="70">
        <v>2917858002</v>
      </c>
      <c r="G59" s="628">
        <f>1700*20900</f>
        <v>35530000</v>
      </c>
      <c r="H59" s="639">
        <f>14368.72*20900</f>
        <v>300306248</v>
      </c>
      <c r="I59" s="626"/>
      <c r="J59" s="626"/>
      <c r="K59" s="58">
        <f t="shared" si="1"/>
        <v>19087212396</v>
      </c>
      <c r="L59" s="604">
        <v>23355206784</v>
      </c>
    </row>
    <row r="60" spans="1:12" ht="16.5">
      <c r="A60" s="626">
        <v>8</v>
      </c>
      <c r="B60" s="627" t="s">
        <v>90</v>
      </c>
      <c r="C60" s="626">
        <v>323</v>
      </c>
      <c r="D60" s="626"/>
      <c r="E60" s="588">
        <v>810011499</v>
      </c>
      <c r="F60" s="626"/>
      <c r="G60" s="629"/>
      <c r="H60" s="629"/>
      <c r="I60" s="626"/>
      <c r="J60" s="626"/>
      <c r="K60" s="58">
        <f t="shared" si="1"/>
        <v>810011499</v>
      </c>
      <c r="L60" s="604">
        <v>1708106378</v>
      </c>
    </row>
    <row r="61" spans="1:12" s="607" customFormat="1" ht="17.25">
      <c r="A61" s="622" t="s">
        <v>125</v>
      </c>
      <c r="B61" s="623" t="s">
        <v>80</v>
      </c>
      <c r="C61" s="622">
        <v>330</v>
      </c>
      <c r="D61" s="622"/>
      <c r="E61" s="624">
        <f>SUM(E62:E64)</f>
        <v>8835372605</v>
      </c>
      <c r="F61" s="624">
        <f>SUM(F62:F64)</f>
        <v>0</v>
      </c>
      <c r="G61" s="625">
        <f>SUM(G62:G64)</f>
        <v>0</v>
      </c>
      <c r="H61" s="625">
        <f>SUM(H62:H64)</f>
        <v>2769250</v>
      </c>
      <c r="I61" s="622"/>
      <c r="J61" s="622"/>
      <c r="K61" s="624">
        <f>SUM(K62:K64)</f>
        <v>8838141855</v>
      </c>
      <c r="L61" s="624">
        <f>SUM(L62:L64)</f>
        <v>16368211287</v>
      </c>
    </row>
    <row r="62" spans="1:13" ht="16.5">
      <c r="A62" s="626">
        <v>1</v>
      </c>
      <c r="B62" s="627" t="s">
        <v>81</v>
      </c>
      <c r="C62" s="626">
        <v>336</v>
      </c>
      <c r="D62" s="626"/>
      <c r="E62" s="626"/>
      <c r="F62" s="626"/>
      <c r="G62" s="629"/>
      <c r="H62" s="639">
        <f>132.5*20900</f>
        <v>2769250</v>
      </c>
      <c r="I62" s="626"/>
      <c r="J62" s="626"/>
      <c r="K62" s="58">
        <f>SUM(E62:H62)</f>
        <v>2769250</v>
      </c>
      <c r="L62" s="604">
        <v>274863142</v>
      </c>
      <c r="M62" s="655"/>
    </row>
    <row r="63" spans="1:13" ht="16.5">
      <c r="A63" s="626">
        <v>2</v>
      </c>
      <c r="B63" s="627" t="s">
        <v>13</v>
      </c>
      <c r="C63" s="626">
        <v>337</v>
      </c>
      <c r="D63" s="626"/>
      <c r="E63" s="70">
        <v>2565157632</v>
      </c>
      <c r="F63" s="626"/>
      <c r="G63" s="629"/>
      <c r="H63" s="629"/>
      <c r="I63" s="626"/>
      <c r="J63" s="626"/>
      <c r="K63" s="58">
        <f>SUM(E63:H63)</f>
        <v>2565157632</v>
      </c>
      <c r="L63" s="604">
        <v>2565157632</v>
      </c>
      <c r="M63" s="655"/>
    </row>
    <row r="64" spans="1:12" ht="16.5">
      <c r="A64" s="626">
        <v>3</v>
      </c>
      <c r="B64" s="627" t="s">
        <v>117</v>
      </c>
      <c r="C64" s="626">
        <v>338</v>
      </c>
      <c r="D64" s="626"/>
      <c r="E64" s="588">
        <v>6270214973</v>
      </c>
      <c r="F64" s="626"/>
      <c r="G64" s="629"/>
      <c r="H64" s="629"/>
      <c r="I64" s="626"/>
      <c r="J64" s="626"/>
      <c r="K64" s="58">
        <f>SUM(E64:H64)</f>
        <v>6270214973</v>
      </c>
      <c r="L64" s="604">
        <v>13528190513</v>
      </c>
    </row>
    <row r="65" spans="1:12" s="607" customFormat="1" ht="17.25">
      <c r="A65" s="622" t="s">
        <v>46</v>
      </c>
      <c r="B65" s="623" t="s">
        <v>82</v>
      </c>
      <c r="C65" s="622">
        <v>400</v>
      </c>
      <c r="D65" s="622"/>
      <c r="E65" s="624">
        <f>E66+E75</f>
        <v>100703783597</v>
      </c>
      <c r="F65" s="624">
        <f>F66+F75</f>
        <v>3458144730</v>
      </c>
      <c r="G65" s="625">
        <f>G66+G75</f>
        <v>47870739818</v>
      </c>
      <c r="H65" s="625">
        <f>H66+H75</f>
        <v>12788452886</v>
      </c>
      <c r="I65" s="622"/>
      <c r="J65" s="622"/>
      <c r="K65" s="624">
        <f>K66+K75</f>
        <v>93264827769</v>
      </c>
      <c r="L65" s="624">
        <f>L66+L75</f>
        <v>93984344035</v>
      </c>
    </row>
    <row r="66" spans="1:12" s="607" customFormat="1" ht="17.25">
      <c r="A66" s="622" t="s">
        <v>124</v>
      </c>
      <c r="B66" s="623" t="s">
        <v>83</v>
      </c>
      <c r="C66" s="622">
        <v>410</v>
      </c>
      <c r="D66" s="622" t="s">
        <v>84</v>
      </c>
      <c r="E66" s="624">
        <f>SUM(E67:E74)</f>
        <v>100703783597</v>
      </c>
      <c r="F66" s="624">
        <f>SUM(F67:F74)</f>
        <v>3458144730</v>
      </c>
      <c r="G66" s="625">
        <f>SUM(G67:G74)</f>
        <v>48109025316</v>
      </c>
      <c r="H66" s="625">
        <f>SUM(H67:H74)</f>
        <v>12928316522</v>
      </c>
      <c r="I66" s="622"/>
      <c r="J66" s="622"/>
      <c r="K66" s="624">
        <f>SUM(K67:K74)</f>
        <v>93264827769</v>
      </c>
      <c r="L66" s="624">
        <f>SUM(L67:L74)</f>
        <v>93984344035</v>
      </c>
    </row>
    <row r="67" spans="1:13" ht="16.5">
      <c r="A67" s="626">
        <v>1</v>
      </c>
      <c r="B67" s="627" t="s">
        <v>163</v>
      </c>
      <c r="C67" s="626">
        <v>411</v>
      </c>
      <c r="D67" s="626"/>
      <c r="E67" s="70">
        <v>53959850000</v>
      </c>
      <c r="F67" s="70">
        <v>4526489000</v>
      </c>
      <c r="G67" s="628">
        <f>3218979.5*20900</f>
        <v>67276671550</v>
      </c>
      <c r="H67" s="640">
        <f>684678.52*20900-44</f>
        <v>14309781024</v>
      </c>
      <c r="I67" s="641">
        <f>H67</f>
        <v>14309781024</v>
      </c>
      <c r="J67" s="626"/>
      <c r="K67" s="58">
        <f>SUM(E67:H67)-F67-G67-H67</f>
        <v>53959850000</v>
      </c>
      <c r="L67" s="604">
        <v>34498500000</v>
      </c>
      <c r="M67" s="655"/>
    </row>
    <row r="68" spans="1:12" ht="16.5">
      <c r="A68" s="626">
        <v>2</v>
      </c>
      <c r="B68" s="627" t="s">
        <v>174</v>
      </c>
      <c r="C68" s="626">
        <v>412</v>
      </c>
      <c r="D68" s="626"/>
      <c r="E68" s="70">
        <v>16090726000</v>
      </c>
      <c r="F68" s="626"/>
      <c r="G68" s="629"/>
      <c r="H68" s="629"/>
      <c r="I68" s="641">
        <f>G67</f>
        <v>67276671550</v>
      </c>
      <c r="J68" s="626"/>
      <c r="K68" s="58">
        <f aca="true" t="shared" si="2" ref="K68:K73">SUM(E68:H68)</f>
        <v>16090726000</v>
      </c>
      <c r="L68" s="604">
        <v>16170748000</v>
      </c>
    </row>
    <row r="69" spans="1:12" ht="16.5">
      <c r="A69" s="626">
        <v>3</v>
      </c>
      <c r="B69" s="627" t="s">
        <v>85</v>
      </c>
      <c r="C69" s="626">
        <v>413</v>
      </c>
      <c r="D69" s="626"/>
      <c r="E69" s="626"/>
      <c r="F69" s="626"/>
      <c r="G69" s="629"/>
      <c r="H69" s="629"/>
      <c r="I69" s="633">
        <f>F67</f>
        <v>4526489000</v>
      </c>
      <c r="J69" s="626"/>
      <c r="K69" s="58">
        <f t="shared" si="2"/>
        <v>0</v>
      </c>
      <c r="L69" s="604"/>
    </row>
    <row r="70" spans="1:12" ht="16.5">
      <c r="A70" s="626">
        <v>4</v>
      </c>
      <c r="B70" s="627" t="s">
        <v>86</v>
      </c>
      <c r="C70" s="626">
        <v>414</v>
      </c>
      <c r="D70" s="626"/>
      <c r="E70" s="626"/>
      <c r="F70" s="626"/>
      <c r="G70" s="629"/>
      <c r="H70" s="629"/>
      <c r="I70" s="626"/>
      <c r="J70" s="626"/>
      <c r="K70" s="58">
        <f t="shared" si="2"/>
        <v>0</v>
      </c>
      <c r="L70" s="604"/>
    </row>
    <row r="71" spans="1:12" ht="16.5">
      <c r="A71" s="626">
        <v>5</v>
      </c>
      <c r="B71" s="627" t="s">
        <v>87</v>
      </c>
      <c r="C71" s="626">
        <v>416</v>
      </c>
      <c r="D71" s="626"/>
      <c r="E71" s="626"/>
      <c r="F71" s="626"/>
      <c r="G71" s="629"/>
      <c r="H71" s="629"/>
      <c r="I71" s="626"/>
      <c r="J71" s="626"/>
      <c r="K71" s="58">
        <f t="shared" si="2"/>
        <v>0</v>
      </c>
      <c r="L71" s="604">
        <v>1935480262</v>
      </c>
    </row>
    <row r="72" spans="1:13" ht="16.5">
      <c r="A72" s="626">
        <v>6</v>
      </c>
      <c r="B72" s="627" t="s">
        <v>175</v>
      </c>
      <c r="C72" s="626">
        <v>417</v>
      </c>
      <c r="D72" s="626"/>
      <c r="E72" s="588">
        <v>7533127601</v>
      </c>
      <c r="F72" s="626"/>
      <c r="G72" s="629"/>
      <c r="H72" s="639">
        <f>3407.12*20900</f>
        <v>71208808</v>
      </c>
      <c r="I72" s="626"/>
      <c r="J72" s="626"/>
      <c r="K72" s="58">
        <f t="shared" si="2"/>
        <v>7604336409</v>
      </c>
      <c r="L72" s="604">
        <v>7441846914</v>
      </c>
      <c r="M72" s="642"/>
    </row>
    <row r="73" spans="1:13" ht="16.5">
      <c r="A73" s="626">
        <v>7</v>
      </c>
      <c r="B73" s="627" t="s">
        <v>176</v>
      </c>
      <c r="C73" s="626">
        <v>418</v>
      </c>
      <c r="D73" s="626"/>
      <c r="E73" s="588">
        <v>4038163561</v>
      </c>
      <c r="F73" s="626"/>
      <c r="G73" s="629"/>
      <c r="H73" s="639">
        <f>1703.55*20900</f>
        <v>35604195</v>
      </c>
      <c r="I73" s="626"/>
      <c r="J73" s="626"/>
      <c r="K73" s="58">
        <f t="shared" si="2"/>
        <v>4073767756</v>
      </c>
      <c r="L73" s="604">
        <v>3992523010</v>
      </c>
      <c r="M73" s="642"/>
    </row>
    <row r="74" spans="1:12" ht="16.5">
      <c r="A74" s="626">
        <v>8</v>
      </c>
      <c r="B74" s="627" t="s">
        <v>88</v>
      </c>
      <c r="C74" s="626">
        <v>420</v>
      </c>
      <c r="D74" s="626"/>
      <c r="E74" s="588">
        <v>19081916435</v>
      </c>
      <c r="F74" s="70">
        <v>-1068344270</v>
      </c>
      <c r="G74" s="628">
        <f>-917112.26*20900</f>
        <v>-19167646234</v>
      </c>
      <c r="H74" s="639">
        <f>-71209.45*20900</f>
        <v>-1488277505</v>
      </c>
      <c r="I74" s="626"/>
      <c r="J74" s="629">
        <v>14178499178</v>
      </c>
      <c r="K74" s="58">
        <f>SUM(E74:H74)+J74</f>
        <v>11536147604</v>
      </c>
      <c r="L74" s="604">
        <v>29945245849</v>
      </c>
    </row>
    <row r="75" spans="1:12" s="607" customFormat="1" ht="17.25">
      <c r="A75" s="622" t="s">
        <v>125</v>
      </c>
      <c r="B75" s="623" t="s">
        <v>89</v>
      </c>
      <c r="C75" s="622">
        <v>430</v>
      </c>
      <c r="D75" s="622"/>
      <c r="E75" s="643">
        <f>E76</f>
        <v>0</v>
      </c>
      <c r="F75" s="643">
        <f>F76</f>
        <v>0</v>
      </c>
      <c r="G75" s="631">
        <f>G76</f>
        <v>-238285498</v>
      </c>
      <c r="H75" s="631">
        <f>H76</f>
        <v>-139863636</v>
      </c>
      <c r="I75" s="622"/>
      <c r="J75" s="622"/>
      <c r="K75" s="624">
        <f>SUM(K76)</f>
        <v>0</v>
      </c>
      <c r="L75" s="624">
        <f>SUM(L76)</f>
        <v>0</v>
      </c>
    </row>
    <row r="76" spans="1:12" ht="16.5">
      <c r="A76" s="626">
        <v>1</v>
      </c>
      <c r="B76" s="627" t="s">
        <v>90</v>
      </c>
      <c r="C76" s="626">
        <v>431</v>
      </c>
      <c r="D76" s="626"/>
      <c r="E76" s="626"/>
      <c r="F76" s="626"/>
      <c r="G76" s="644">
        <f>-11401.22*20900</f>
        <v>-238285498</v>
      </c>
      <c r="H76" s="644">
        <f>-6692.04*20900</f>
        <v>-139863636</v>
      </c>
      <c r="I76" s="626"/>
      <c r="J76" s="626">
        <v>378149134</v>
      </c>
      <c r="K76" s="58">
        <f>SUM(E76:H76)+J76</f>
        <v>0</v>
      </c>
      <c r="L76" s="604"/>
    </row>
    <row r="77" spans="1:12" ht="16.5">
      <c r="A77" s="645"/>
      <c r="B77" s="645" t="s">
        <v>130</v>
      </c>
      <c r="C77" s="645">
        <v>440</v>
      </c>
      <c r="D77" s="645"/>
      <c r="E77" s="646">
        <f>E51+E65</f>
        <v>217654509859</v>
      </c>
      <c r="F77" s="646">
        <f>F51+F65</f>
        <v>8120957548</v>
      </c>
      <c r="G77" s="647">
        <f>G51+G65</f>
        <v>62966806056</v>
      </c>
      <c r="H77" s="647">
        <f>H51+H65</f>
        <v>16004439802.89</v>
      </c>
      <c r="I77" s="648">
        <f>SUM(I10:I76)</f>
        <v>86112941574</v>
      </c>
      <c r="J77" s="648">
        <f>SUM(J10:J76)</f>
        <v>86112941573.82</v>
      </c>
      <c r="K77" s="646">
        <f>K51+K65</f>
        <v>232479052542.89</v>
      </c>
      <c r="L77" s="646">
        <f>L51+L65</f>
        <v>248132064577</v>
      </c>
    </row>
    <row r="78" spans="1:12" ht="16.5">
      <c r="A78" s="189"/>
      <c r="E78" s="642">
        <f>E77-E49</f>
        <v>0.17999267578125</v>
      </c>
      <c r="F78" s="642">
        <f>F77-F49</f>
        <v>0</v>
      </c>
      <c r="G78" s="649">
        <f>G77-G49</f>
        <v>0</v>
      </c>
      <c r="H78" s="649">
        <f>H77-H49</f>
        <v>-0.1100006103515625</v>
      </c>
      <c r="J78" s="650">
        <f>J77-I77</f>
        <v>-0.17999267578125</v>
      </c>
      <c r="K78" s="649"/>
      <c r="L78" s="649"/>
    </row>
    <row r="79" spans="1:18" ht="16.5">
      <c r="A79" s="189"/>
      <c r="B79" s="460"/>
      <c r="C79" s="460"/>
      <c r="D79" s="460"/>
      <c r="E79" s="460"/>
      <c r="F79" s="460"/>
      <c r="G79" s="651"/>
      <c r="H79" s="651"/>
      <c r="I79" s="460"/>
      <c r="J79" s="460"/>
      <c r="K79" s="722" t="s">
        <v>1076</v>
      </c>
      <c r="L79" s="722"/>
      <c r="M79" s="189"/>
      <c r="N79" s="189"/>
      <c r="O79" s="189"/>
      <c r="P79" s="189"/>
      <c r="Q79" s="189"/>
      <c r="R79" s="189"/>
    </row>
    <row r="80" spans="1:18" ht="16.5">
      <c r="A80" s="189"/>
      <c r="B80" s="189" t="s">
        <v>177</v>
      </c>
      <c r="C80" s="189"/>
      <c r="D80" s="189"/>
      <c r="E80" s="189"/>
      <c r="F80" s="189"/>
      <c r="G80" s="466"/>
      <c r="H80" s="466"/>
      <c r="I80" s="189"/>
      <c r="J80" s="189"/>
      <c r="K80" s="727" t="s">
        <v>288</v>
      </c>
      <c r="L80" s="727"/>
      <c r="M80" s="727"/>
      <c r="N80" s="189"/>
      <c r="O80" s="189"/>
      <c r="P80" s="189"/>
      <c r="Q80" s="189"/>
      <c r="R80" s="189"/>
    </row>
    <row r="81" spans="1:12" ht="16.5">
      <c r="A81" s="189"/>
      <c r="L81" s="460"/>
    </row>
    <row r="82" spans="1:12" ht="16.5">
      <c r="A82" s="189"/>
      <c r="B82" s="652"/>
      <c r="C82" s="652"/>
      <c r="D82" s="652"/>
      <c r="E82" s="652"/>
      <c r="F82" s="652"/>
      <c r="G82" s="653"/>
      <c r="H82" s="653"/>
      <c r="I82" s="652"/>
      <c r="J82" s="652"/>
      <c r="L82" s="460"/>
    </row>
    <row r="83" ht="16.5">
      <c r="A83" s="189"/>
    </row>
    <row r="84" ht="16.5">
      <c r="A84" s="189"/>
    </row>
    <row r="85" spans="1:12" ht="16.5">
      <c r="A85" s="189"/>
      <c r="B85" s="189" t="s">
        <v>1068</v>
      </c>
      <c r="C85" s="189"/>
      <c r="D85" s="189"/>
      <c r="E85" s="189"/>
      <c r="F85" s="189"/>
      <c r="G85" s="466"/>
      <c r="H85" s="466"/>
      <c r="I85" s="189"/>
      <c r="J85" s="189"/>
      <c r="K85" s="722"/>
      <c r="L85" s="722"/>
    </row>
    <row r="86" ht="16.5">
      <c r="A86" s="189"/>
    </row>
    <row r="87" ht="16.5">
      <c r="A87" s="189"/>
    </row>
    <row r="88" ht="16.5">
      <c r="A88" s="189"/>
    </row>
    <row r="89" ht="16.5">
      <c r="A89" s="189"/>
    </row>
    <row r="90" ht="16.5">
      <c r="A90" s="189"/>
    </row>
    <row r="91" ht="16.5">
      <c r="A91" s="189"/>
    </row>
    <row r="92" ht="16.5">
      <c r="A92" s="189"/>
    </row>
  </sheetData>
  <sheetProtection/>
  <mergeCells count="16">
    <mergeCell ref="A7:A8"/>
    <mergeCell ref="B7:B8"/>
    <mergeCell ref="C7:C8"/>
    <mergeCell ref="D7:D8"/>
    <mergeCell ref="B4:L4"/>
    <mergeCell ref="K80:M80"/>
    <mergeCell ref="B5:L5"/>
    <mergeCell ref="K7:K8"/>
    <mergeCell ref="K79:L79"/>
    <mergeCell ref="K85:L85"/>
    <mergeCell ref="E7:E8"/>
    <mergeCell ref="F7:F8"/>
    <mergeCell ref="G7:G8"/>
    <mergeCell ref="H7:H8"/>
    <mergeCell ref="I7:J7"/>
    <mergeCell ref="L7:L8"/>
  </mergeCells>
  <printOptions/>
  <pageMargins left="0.36" right="0.43" top="0.45" bottom="0.9" header="0.23" footer="0.37"/>
  <pageSetup horizontalDpi="600" verticalDpi="600" orientation="portrait" paperSize="9" r:id="rId1"/>
  <headerFooter scaleWithDoc="0" alignWithMargins="0">
    <oddFooter>&amp;CPage 3</oddFooter>
  </headerFooter>
</worksheet>
</file>

<file path=xl/worksheets/sheet4.xml><?xml version="1.0" encoding="utf-8"?>
<worksheet xmlns="http://schemas.openxmlformats.org/spreadsheetml/2006/main" xmlns:r="http://schemas.openxmlformats.org/officeDocument/2006/relationships">
  <sheetPr>
    <tabColor rgb="FFFF0000"/>
  </sheetPr>
  <dimension ref="A1:IN79"/>
  <sheetViews>
    <sheetView zoomScalePageLayoutView="0" workbookViewId="0" topLeftCell="A43">
      <selection activeCell="E9" sqref="E9"/>
    </sheetView>
  </sheetViews>
  <sheetFormatPr defaultColWidth="10.25390625" defaultRowHeight="12.75"/>
  <cols>
    <col min="1" max="1" width="4.375" style="79" customWidth="1"/>
    <col min="2" max="3" width="10.25390625" style="79" customWidth="1"/>
    <col min="4" max="4" width="9.125" style="79" customWidth="1"/>
    <col min="5" max="5" width="7.625" style="79" customWidth="1"/>
    <col min="6" max="6" width="13.125" style="79" customWidth="1"/>
    <col min="7" max="7" width="1.12109375" style="79" customWidth="1"/>
    <col min="8" max="8" width="6.25390625" style="79" customWidth="1"/>
    <col min="9" max="9" width="1.00390625" style="79" customWidth="1"/>
    <col min="10" max="10" width="4.625" style="79" customWidth="1"/>
    <col min="11" max="11" width="0.6171875" style="79" customWidth="1"/>
    <col min="12" max="12" width="15.375" style="167" customWidth="1"/>
    <col min="13" max="13" width="0.875" style="168" customWidth="1"/>
    <col min="14" max="14" width="17.375" style="60" customWidth="1"/>
    <col min="15" max="15" width="17.625" style="79" hidden="1" customWidth="1"/>
    <col min="16" max="16" width="16.00390625" style="79" hidden="1" customWidth="1"/>
    <col min="17" max="17" width="17.625" style="79" hidden="1" customWidth="1"/>
    <col min="18" max="18" width="17.00390625" style="79" hidden="1" customWidth="1"/>
    <col min="19" max="19" width="21.75390625" style="79" hidden="1" customWidth="1"/>
    <col min="20" max="20" width="19.125" style="79" hidden="1" customWidth="1"/>
    <col min="21" max="21" width="15.25390625" style="79" hidden="1" customWidth="1"/>
    <col min="22" max="26" width="0" style="79" hidden="1" customWidth="1"/>
    <col min="27" max="27" width="10.25390625" style="79" customWidth="1"/>
    <col min="28" max="28" width="15.25390625" style="79" customWidth="1"/>
    <col min="29" max="16384" width="10.25390625" style="79" customWidth="1"/>
  </cols>
  <sheetData>
    <row r="1" spans="1:248" s="74" customFormat="1" ht="19.5" customHeight="1">
      <c r="A1" s="65" t="str">
        <f>'[1]TTC'!D6</f>
        <v>CÔNG TY CỔ PHẦN CHẾ TẠO MÁY DZĨ AN</v>
      </c>
      <c r="B1" s="66"/>
      <c r="C1" s="67"/>
      <c r="D1" s="67"/>
      <c r="E1" s="68"/>
      <c r="F1" s="67"/>
      <c r="G1" s="69"/>
      <c r="H1" s="67"/>
      <c r="I1" s="70"/>
      <c r="J1" s="71"/>
      <c r="K1" s="72"/>
      <c r="L1" s="73"/>
      <c r="N1" s="59" t="s">
        <v>196</v>
      </c>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c r="FP1" s="67"/>
      <c r="FQ1" s="67"/>
      <c r="FR1" s="67"/>
      <c r="FS1" s="67"/>
      <c r="FT1" s="67"/>
      <c r="FU1" s="67"/>
      <c r="FV1" s="67"/>
      <c r="FW1" s="67"/>
      <c r="FX1" s="67"/>
      <c r="FY1" s="67"/>
      <c r="FZ1" s="67"/>
      <c r="GA1" s="67"/>
      <c r="GB1" s="67"/>
      <c r="GC1" s="67"/>
      <c r="GD1" s="67"/>
      <c r="GE1" s="67"/>
      <c r="GF1" s="67"/>
      <c r="GG1" s="67"/>
      <c r="GH1" s="67"/>
      <c r="GI1" s="67"/>
      <c r="GJ1" s="67"/>
      <c r="GK1" s="67"/>
      <c r="GL1" s="67"/>
      <c r="GM1" s="67"/>
      <c r="GN1" s="67"/>
      <c r="GO1" s="67"/>
      <c r="GP1" s="67"/>
      <c r="GQ1" s="67"/>
      <c r="GR1" s="67"/>
      <c r="GS1" s="67"/>
      <c r="GT1" s="67"/>
      <c r="GU1" s="67"/>
      <c r="GV1" s="67"/>
      <c r="GW1" s="67"/>
      <c r="GX1" s="67"/>
      <c r="GY1" s="67"/>
      <c r="GZ1" s="67"/>
      <c r="HA1" s="67"/>
      <c r="HB1" s="67"/>
      <c r="HC1" s="67"/>
      <c r="HD1" s="67"/>
      <c r="HE1" s="67"/>
      <c r="HF1" s="67"/>
      <c r="HG1" s="67"/>
      <c r="HH1" s="67"/>
      <c r="HI1" s="67"/>
      <c r="HJ1" s="67"/>
      <c r="HK1" s="67"/>
      <c r="HL1" s="67"/>
      <c r="HM1" s="67"/>
      <c r="HN1" s="67"/>
      <c r="HO1" s="67"/>
      <c r="HP1" s="67"/>
      <c r="HQ1" s="67"/>
      <c r="HR1" s="67"/>
      <c r="HS1" s="67"/>
      <c r="HT1" s="67"/>
      <c r="HU1" s="67"/>
      <c r="HV1" s="67"/>
      <c r="HW1" s="67"/>
      <c r="HX1" s="67"/>
      <c r="HY1" s="67"/>
      <c r="HZ1" s="67"/>
      <c r="IA1" s="67"/>
      <c r="IB1" s="67"/>
      <c r="IC1" s="67"/>
      <c r="ID1" s="67"/>
      <c r="IE1" s="67"/>
      <c r="IF1" s="67"/>
      <c r="IG1" s="67"/>
      <c r="IH1" s="67"/>
      <c r="II1" s="67"/>
      <c r="IJ1" s="67"/>
      <c r="IK1" s="67"/>
      <c r="IL1" s="67"/>
      <c r="IM1" s="67"/>
      <c r="IN1" s="67"/>
    </row>
    <row r="2" spans="1:248" s="74" customFormat="1" ht="9.75" customHeight="1">
      <c r="A2" s="65"/>
      <c r="B2" s="66"/>
      <c r="C2" s="67"/>
      <c r="D2" s="67"/>
      <c r="E2" s="68"/>
      <c r="F2" s="67"/>
      <c r="G2" s="69"/>
      <c r="H2" s="67"/>
      <c r="I2" s="70"/>
      <c r="J2" s="71"/>
      <c r="K2" s="72"/>
      <c r="L2" s="73"/>
      <c r="N2" s="59"/>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row>
    <row r="3" spans="1:14" ht="24.75" customHeight="1">
      <c r="A3" s="75" t="s">
        <v>197</v>
      </c>
      <c r="B3" s="76"/>
      <c r="C3" s="76"/>
      <c r="D3" s="76"/>
      <c r="E3" s="76"/>
      <c r="F3" s="76"/>
      <c r="G3" s="76"/>
      <c r="H3" s="76"/>
      <c r="I3" s="76"/>
      <c r="J3" s="76"/>
      <c r="K3" s="76"/>
      <c r="L3" s="77"/>
      <c r="M3" s="78"/>
      <c r="N3" s="78"/>
    </row>
    <row r="4" spans="1:14" ht="24.75" customHeight="1">
      <c r="A4" s="80" t="s">
        <v>198</v>
      </c>
      <c r="B4" s="76"/>
      <c r="C4" s="76"/>
      <c r="D4" s="76"/>
      <c r="E4" s="76"/>
      <c r="F4" s="76"/>
      <c r="G4" s="76"/>
      <c r="H4" s="76"/>
      <c r="I4" s="76"/>
      <c r="J4" s="76"/>
      <c r="K4" s="76"/>
      <c r="L4" s="81"/>
      <c r="M4" s="82"/>
      <c r="N4" s="82"/>
    </row>
    <row r="5" spans="1:14" s="93" customFormat="1" ht="19.5" customHeight="1">
      <c r="A5" s="83" t="s">
        <v>1053</v>
      </c>
      <c r="B5" s="84"/>
      <c r="C5" s="85"/>
      <c r="D5" s="86"/>
      <c r="E5" s="87"/>
      <c r="F5" s="87"/>
      <c r="G5" s="87"/>
      <c r="H5" s="88"/>
      <c r="I5" s="89"/>
      <c r="J5" s="90"/>
      <c r="K5" s="84"/>
      <c r="L5" s="91"/>
      <c r="M5" s="84"/>
      <c r="N5" s="92" t="s">
        <v>199</v>
      </c>
    </row>
    <row r="6" spans="1:14" ht="19.5" customHeight="1">
      <c r="A6" s="94"/>
      <c r="B6" s="95"/>
      <c r="C6" s="95"/>
      <c r="D6" s="95"/>
      <c r="E6" s="95"/>
      <c r="F6" s="95"/>
      <c r="G6" s="95"/>
      <c r="H6" s="95"/>
      <c r="I6" s="95"/>
      <c r="J6" s="95"/>
      <c r="K6" s="95"/>
      <c r="L6" s="96"/>
      <c r="M6" s="97"/>
      <c r="N6" s="98"/>
    </row>
    <row r="7" spans="1:14" s="38" customFormat="1" ht="34.5" customHeight="1">
      <c r="A7" s="731" t="s">
        <v>200</v>
      </c>
      <c r="B7" s="731"/>
      <c r="C7" s="731"/>
      <c r="D7" s="731"/>
      <c r="E7" s="731"/>
      <c r="F7" s="731"/>
      <c r="G7" s="36"/>
      <c r="H7" s="36" t="s">
        <v>190</v>
      </c>
      <c r="I7" s="36"/>
      <c r="J7" s="99" t="s">
        <v>115</v>
      </c>
      <c r="K7" s="37"/>
      <c r="L7" s="431" t="s">
        <v>1064</v>
      </c>
      <c r="M7" s="100"/>
      <c r="N7" s="431" t="s">
        <v>1065</v>
      </c>
    </row>
    <row r="8" spans="1:14" s="106" customFormat="1" ht="30" customHeight="1">
      <c r="A8" s="101" t="s">
        <v>201</v>
      </c>
      <c r="B8" s="102"/>
      <c r="C8" s="102"/>
      <c r="D8" s="102"/>
      <c r="E8" s="102"/>
      <c r="F8" s="102"/>
      <c r="G8" s="102"/>
      <c r="H8" s="103"/>
      <c r="I8" s="103"/>
      <c r="J8" s="103"/>
      <c r="K8" s="103"/>
      <c r="L8" s="104"/>
      <c r="M8" s="105"/>
      <c r="N8" s="104"/>
    </row>
    <row r="9" spans="1:14" s="111" customFormat="1" ht="19.5" customHeight="1">
      <c r="A9" s="107" t="s">
        <v>202</v>
      </c>
      <c r="B9" s="107" t="s">
        <v>203</v>
      </c>
      <c r="C9" s="108"/>
      <c r="D9" s="108"/>
      <c r="E9" s="108"/>
      <c r="F9" s="108"/>
      <c r="G9" s="108"/>
      <c r="H9" s="109" t="s">
        <v>204</v>
      </c>
      <c r="I9" s="109"/>
      <c r="J9" s="109"/>
      <c r="K9" s="109"/>
      <c r="L9" s="59">
        <v>-936820179</v>
      </c>
      <c r="M9" s="110"/>
      <c r="N9" s="600">
        <v>6221468546</v>
      </c>
    </row>
    <row r="10" spans="1:14" s="111" customFormat="1" ht="19.5" customHeight="1">
      <c r="A10" s="107" t="s">
        <v>205</v>
      </c>
      <c r="B10" s="107" t="s">
        <v>206</v>
      </c>
      <c r="C10" s="108"/>
      <c r="D10" s="108"/>
      <c r="E10" s="108"/>
      <c r="F10" s="108"/>
      <c r="G10" s="108"/>
      <c r="H10" s="109"/>
      <c r="I10" s="109"/>
      <c r="J10" s="109"/>
      <c r="K10" s="109"/>
      <c r="L10" s="112"/>
      <c r="M10" s="112"/>
      <c r="N10" s="112"/>
    </row>
    <row r="11" spans="1:15" s="111" customFormat="1" ht="18" customHeight="1">
      <c r="A11" s="108"/>
      <c r="B11" s="113" t="s">
        <v>207</v>
      </c>
      <c r="C11" s="108"/>
      <c r="D11" s="108"/>
      <c r="E11" s="108"/>
      <c r="F11" s="108"/>
      <c r="G11" s="108"/>
      <c r="H11" s="109" t="s">
        <v>208</v>
      </c>
      <c r="I11" s="109"/>
      <c r="J11" s="109"/>
      <c r="K11" s="109"/>
      <c r="L11" s="60">
        <v>4673599486</v>
      </c>
      <c r="M11" s="110"/>
      <c r="N11" s="601">
        <v>609192417</v>
      </c>
      <c r="O11" s="110">
        <f>L11+L27</f>
        <v>-4106081187</v>
      </c>
    </row>
    <row r="12" spans="1:15" s="111" customFormat="1" ht="15.75" customHeight="1">
      <c r="A12" s="108"/>
      <c r="B12" s="113" t="s">
        <v>209</v>
      </c>
      <c r="C12" s="108"/>
      <c r="D12" s="108"/>
      <c r="E12" s="108"/>
      <c r="F12" s="108"/>
      <c r="G12" s="108"/>
      <c r="H12" s="109" t="s">
        <v>210</v>
      </c>
      <c r="I12" s="109"/>
      <c r="J12" s="109"/>
      <c r="K12" s="109"/>
      <c r="L12" s="60">
        <v>1249387012</v>
      </c>
      <c r="M12" s="110"/>
      <c r="N12" s="60">
        <v>0</v>
      </c>
      <c r="O12" s="114">
        <f>O11+'[1]CDKT '!L51+'[1]CDKT '!L57+'[1]CDKT '!L60</f>
        <v>-6238243269</v>
      </c>
    </row>
    <row r="13" spans="1:14" s="111" customFormat="1" ht="15.75" customHeight="1">
      <c r="A13" s="108"/>
      <c r="B13" s="108" t="s">
        <v>211</v>
      </c>
      <c r="C13" s="108"/>
      <c r="D13" s="108"/>
      <c r="E13" s="108"/>
      <c r="F13" s="108"/>
      <c r="G13" s="108"/>
      <c r="H13" s="109" t="s">
        <v>212</v>
      </c>
      <c r="I13" s="109"/>
      <c r="J13" s="109"/>
      <c r="K13" s="109"/>
      <c r="L13" s="60"/>
      <c r="M13" s="110"/>
      <c r="N13" s="60">
        <v>0</v>
      </c>
    </row>
    <row r="14" spans="1:15" s="111" customFormat="1" ht="15.75" customHeight="1">
      <c r="A14" s="108"/>
      <c r="B14" s="108" t="s">
        <v>213</v>
      </c>
      <c r="C14" s="108"/>
      <c r="D14" s="108"/>
      <c r="E14" s="108"/>
      <c r="F14" s="108"/>
      <c r="G14" s="108"/>
      <c r="H14" s="109" t="s">
        <v>214</v>
      </c>
      <c r="I14" s="109"/>
      <c r="J14" s="109"/>
      <c r="K14" s="109"/>
      <c r="L14" s="60"/>
      <c r="M14" s="110"/>
      <c r="N14" s="601">
        <v>423343624</v>
      </c>
      <c r="O14" s="110"/>
    </row>
    <row r="15" spans="1:14" s="111" customFormat="1" ht="15.75" customHeight="1">
      <c r="A15" s="108"/>
      <c r="B15" s="113" t="s">
        <v>215</v>
      </c>
      <c r="C15" s="108"/>
      <c r="D15" s="108"/>
      <c r="E15" s="108"/>
      <c r="F15" s="108"/>
      <c r="G15" s="108"/>
      <c r="H15" s="109" t="s">
        <v>216</v>
      </c>
      <c r="I15" s="109"/>
      <c r="J15" s="109"/>
      <c r="K15" s="109"/>
      <c r="L15" s="60">
        <v>1954099045</v>
      </c>
      <c r="M15" s="110"/>
      <c r="N15" s="601">
        <v>3864350476</v>
      </c>
    </row>
    <row r="16" spans="1:16" s="111" customFormat="1" ht="30.75" customHeight="1">
      <c r="A16" s="107" t="s">
        <v>217</v>
      </c>
      <c r="B16" s="736" t="s">
        <v>218</v>
      </c>
      <c r="C16" s="736"/>
      <c r="D16" s="736"/>
      <c r="E16" s="736"/>
      <c r="F16" s="736"/>
      <c r="G16" s="39"/>
      <c r="H16" s="103" t="s">
        <v>219</v>
      </c>
      <c r="I16" s="103"/>
      <c r="J16" s="103"/>
      <c r="K16" s="103"/>
      <c r="L16" s="59">
        <f>SUM(L9:L15)</f>
        <v>6940265364</v>
      </c>
      <c r="M16" s="112"/>
      <c r="N16" s="59">
        <f>SUM(N9:N15)</f>
        <v>11118355063</v>
      </c>
      <c r="O16" s="114"/>
      <c r="P16" s="114"/>
    </row>
    <row r="17" spans="1:14" s="111" customFormat="1" ht="18" customHeight="1">
      <c r="A17" s="108"/>
      <c r="B17" s="108" t="s">
        <v>220</v>
      </c>
      <c r="C17" s="108"/>
      <c r="D17" s="108"/>
      <c r="E17" s="108"/>
      <c r="F17" s="108"/>
      <c r="G17" s="108"/>
      <c r="H17" s="109" t="s">
        <v>221</v>
      </c>
      <c r="I17" s="109"/>
      <c r="J17" s="109"/>
      <c r="K17" s="109"/>
      <c r="L17" s="60">
        <v>12254021995</v>
      </c>
      <c r="M17" s="110"/>
      <c r="N17" s="601">
        <v>-871288017</v>
      </c>
    </row>
    <row r="18" spans="1:14" s="111" customFormat="1" ht="18" customHeight="1">
      <c r="A18" s="108"/>
      <c r="B18" s="108" t="s">
        <v>222</v>
      </c>
      <c r="C18" s="108"/>
      <c r="D18" s="108"/>
      <c r="E18" s="108"/>
      <c r="F18" s="108"/>
      <c r="G18" s="108"/>
      <c r="H18" s="109" t="s">
        <v>223</v>
      </c>
      <c r="I18" s="109"/>
      <c r="J18" s="109"/>
      <c r="K18" s="109"/>
      <c r="L18" s="60">
        <v>-13541372412</v>
      </c>
      <c r="M18" s="110"/>
      <c r="N18" s="601">
        <v>25838554450</v>
      </c>
    </row>
    <row r="19" spans="1:19" s="111" customFormat="1" ht="34.5" customHeight="1">
      <c r="A19" s="108"/>
      <c r="B19" s="732" t="s">
        <v>224</v>
      </c>
      <c r="C19" s="733"/>
      <c r="D19" s="733"/>
      <c r="E19" s="733"/>
      <c r="F19" s="733"/>
      <c r="G19" s="39"/>
      <c r="H19" s="109" t="s">
        <v>225</v>
      </c>
      <c r="I19" s="109"/>
      <c r="J19" s="109"/>
      <c r="K19" s="109"/>
      <c r="L19" s="60">
        <v>-7868529441</v>
      </c>
      <c r="M19" s="110"/>
      <c r="N19" s="602">
        <v>9373759569</v>
      </c>
      <c r="O19" s="115" t="s">
        <v>226</v>
      </c>
      <c r="P19" s="115" t="s">
        <v>227</v>
      </c>
      <c r="Q19" s="115" t="s">
        <v>228</v>
      </c>
      <c r="R19" s="116"/>
      <c r="S19" s="115" t="s">
        <v>229</v>
      </c>
    </row>
    <row r="20" spans="1:19" s="111" customFormat="1" ht="15.75" customHeight="1">
      <c r="A20" s="108"/>
      <c r="B20" s="108" t="s">
        <v>230</v>
      </c>
      <c r="C20" s="108"/>
      <c r="D20" s="108"/>
      <c r="E20" s="108"/>
      <c r="F20" s="108"/>
      <c r="G20" s="108"/>
      <c r="H20" s="109" t="s">
        <v>231</v>
      </c>
      <c r="I20" s="109"/>
      <c r="J20" s="109"/>
      <c r="K20" s="109"/>
      <c r="L20" s="60">
        <v>404087332</v>
      </c>
      <c r="M20" s="110"/>
      <c r="N20" s="601">
        <v>-207176711</v>
      </c>
      <c r="O20" s="116"/>
      <c r="P20" s="116"/>
      <c r="Q20" s="116"/>
      <c r="R20" s="116"/>
      <c r="S20" s="116"/>
    </row>
    <row r="21" spans="1:19" s="111" customFormat="1" ht="15.75" customHeight="1">
      <c r="A21" s="108"/>
      <c r="B21" s="113" t="s">
        <v>232</v>
      </c>
      <c r="C21" s="108"/>
      <c r="D21" s="108"/>
      <c r="E21" s="108"/>
      <c r="F21" s="108"/>
      <c r="G21" s="108"/>
      <c r="H21" s="109" t="s">
        <v>233</v>
      </c>
      <c r="I21" s="109"/>
      <c r="J21" s="109"/>
      <c r="K21" s="109"/>
      <c r="L21" s="60">
        <f>-L15</f>
        <v>-1954099045</v>
      </c>
      <c r="M21" s="110"/>
      <c r="N21" s="601">
        <v>-3864350476</v>
      </c>
      <c r="O21" s="117">
        <v>-5493787490</v>
      </c>
      <c r="P21" s="116"/>
      <c r="Q21" s="117">
        <f>-31773.95*20828</f>
        <v>-661787830.6</v>
      </c>
      <c r="R21" s="116"/>
      <c r="S21" s="118">
        <f>SUM(O21:Q21)</f>
        <v>-6155575320.6</v>
      </c>
    </row>
    <row r="22" spans="1:19" s="111" customFormat="1" ht="15.75" customHeight="1">
      <c r="A22" s="108"/>
      <c r="B22" s="113" t="s">
        <v>234</v>
      </c>
      <c r="C22" s="108"/>
      <c r="D22" s="108"/>
      <c r="E22" s="108"/>
      <c r="F22" s="108"/>
      <c r="G22" s="108"/>
      <c r="H22" s="109" t="s">
        <v>235</v>
      </c>
      <c r="I22" s="109"/>
      <c r="J22" s="109"/>
      <c r="K22" s="109"/>
      <c r="L22" s="119">
        <v>0</v>
      </c>
      <c r="M22" s="110"/>
      <c r="N22" s="60"/>
      <c r="O22" s="117">
        <v>0</v>
      </c>
      <c r="P22" s="120"/>
      <c r="Q22" s="116"/>
      <c r="R22" s="116"/>
      <c r="S22" s="118">
        <f>SUM(O22:Q22)</f>
        <v>0</v>
      </c>
    </row>
    <row r="23" spans="1:20" s="111" customFormat="1" ht="15.75" customHeight="1">
      <c r="A23" s="108"/>
      <c r="B23" s="113" t="s">
        <v>236</v>
      </c>
      <c r="C23" s="108"/>
      <c r="D23" s="108"/>
      <c r="E23" s="108"/>
      <c r="F23" s="108"/>
      <c r="G23" s="108"/>
      <c r="H23" s="109" t="s">
        <v>237</v>
      </c>
      <c r="I23" s="109"/>
      <c r="J23" s="109"/>
      <c r="K23" s="109"/>
      <c r="L23" s="119"/>
      <c r="M23" s="110"/>
      <c r="N23" s="60">
        <v>0</v>
      </c>
      <c r="O23" s="117">
        <v>4464159919</v>
      </c>
      <c r="P23" s="120"/>
      <c r="Q23" s="120"/>
      <c r="R23" s="116"/>
      <c r="S23" s="118">
        <f>SUM(O23:Q23)</f>
        <v>4464159919</v>
      </c>
      <c r="T23" s="121"/>
    </row>
    <row r="24" spans="1:28" s="111" customFormat="1" ht="15.75" customHeight="1">
      <c r="A24" s="108"/>
      <c r="B24" s="113" t="s">
        <v>238</v>
      </c>
      <c r="C24" s="108"/>
      <c r="D24" s="108"/>
      <c r="E24" s="108"/>
      <c r="F24" s="108"/>
      <c r="G24" s="108"/>
      <c r="H24" s="109" t="s">
        <v>239</v>
      </c>
      <c r="I24" s="109"/>
      <c r="J24" s="109"/>
      <c r="K24" s="109"/>
      <c r="L24" s="657">
        <v>-13391937579</v>
      </c>
      <c r="M24" s="110"/>
      <c r="N24" s="603">
        <v>2351879972</v>
      </c>
      <c r="O24" s="117">
        <v>-1082989000</v>
      </c>
      <c r="P24" s="117">
        <f>-1420*20828</f>
        <v>-29575760</v>
      </c>
      <c r="Q24" s="117">
        <f>-7297*20828</f>
        <v>-151981916</v>
      </c>
      <c r="R24" s="122"/>
      <c r="S24" s="118">
        <f>SUM(O24:Q24)</f>
        <v>-1264546676</v>
      </c>
      <c r="T24" s="121"/>
      <c r="AB24" s="603"/>
    </row>
    <row r="25" spans="1:19" s="106" customFormat="1" ht="19.5" customHeight="1">
      <c r="A25" s="102"/>
      <c r="B25" s="101" t="s">
        <v>240</v>
      </c>
      <c r="C25" s="102"/>
      <c r="D25" s="102"/>
      <c r="E25" s="102"/>
      <c r="F25" s="102"/>
      <c r="G25" s="102"/>
      <c r="H25" s="103" t="s">
        <v>241</v>
      </c>
      <c r="I25" s="103"/>
      <c r="J25" s="103"/>
      <c r="K25" s="103"/>
      <c r="L25" s="59">
        <f>SUM(L16:L24)</f>
        <v>-17157563786</v>
      </c>
      <c r="M25" s="112"/>
      <c r="N25" s="59">
        <f>SUM(N16:N24)</f>
        <v>43739733850</v>
      </c>
      <c r="O25" s="123"/>
      <c r="P25" s="124"/>
      <c r="Q25" s="124"/>
      <c r="R25" s="124"/>
      <c r="S25" s="124"/>
    </row>
    <row r="26" spans="1:19" s="106" customFormat="1" ht="30" customHeight="1">
      <c r="A26" s="101" t="s">
        <v>242</v>
      </c>
      <c r="B26" s="102"/>
      <c r="C26" s="102"/>
      <c r="D26" s="102"/>
      <c r="E26" s="102"/>
      <c r="F26" s="102"/>
      <c r="G26" s="102"/>
      <c r="H26" s="103"/>
      <c r="I26" s="103"/>
      <c r="J26" s="103"/>
      <c r="K26" s="103"/>
      <c r="L26" s="60"/>
      <c r="M26" s="112"/>
      <c r="N26" s="60" t="s">
        <v>1066</v>
      </c>
      <c r="O26" s="125"/>
      <c r="P26" s="124"/>
      <c r="Q26" s="126"/>
      <c r="R26" s="124"/>
      <c r="S26" s="124"/>
    </row>
    <row r="27" spans="1:21" s="111" customFormat="1" ht="18" customHeight="1">
      <c r="A27" s="108" t="s">
        <v>243</v>
      </c>
      <c r="B27" s="108" t="s">
        <v>244</v>
      </c>
      <c r="C27" s="108"/>
      <c r="D27" s="108"/>
      <c r="E27" s="108"/>
      <c r="F27" s="108"/>
      <c r="G27" s="108"/>
      <c r="H27" s="109" t="s">
        <v>245</v>
      </c>
      <c r="I27" s="109"/>
      <c r="J27" s="109"/>
      <c r="K27" s="109"/>
      <c r="L27" s="60">
        <v>-8779680673</v>
      </c>
      <c r="M27" s="110"/>
      <c r="N27" s="602">
        <v>-86500000</v>
      </c>
      <c r="O27" s="117">
        <v>-116425454</v>
      </c>
      <c r="P27" s="117"/>
      <c r="Q27" s="117">
        <f>-16928*20828</f>
        <v>-352576384</v>
      </c>
      <c r="R27" s="117"/>
      <c r="S27" s="117">
        <f>SUM(O27:Q27)</f>
        <v>-469001838</v>
      </c>
      <c r="T27" s="127" t="s">
        <v>246</v>
      </c>
      <c r="U27" s="127" t="s">
        <v>247</v>
      </c>
    </row>
    <row r="28" spans="1:21" s="111" customFormat="1" ht="15.75" customHeight="1">
      <c r="A28" s="108" t="s">
        <v>248</v>
      </c>
      <c r="B28" s="108" t="s">
        <v>249</v>
      </c>
      <c r="C28" s="108"/>
      <c r="D28" s="108"/>
      <c r="E28" s="108"/>
      <c r="F28" s="108"/>
      <c r="G28" s="108"/>
      <c r="H28" s="109">
        <v>22</v>
      </c>
      <c r="I28" s="109"/>
      <c r="J28" s="109"/>
      <c r="K28" s="109"/>
      <c r="L28" s="60">
        <v>0</v>
      </c>
      <c r="M28" s="110"/>
      <c r="N28" s="60">
        <v>0</v>
      </c>
      <c r="O28" s="117"/>
      <c r="P28" s="117"/>
      <c r="Q28" s="117"/>
      <c r="R28" s="117"/>
      <c r="S28" s="117">
        <f aca="true" t="shared" si="0" ref="S28:S33">SUM(O28:Q28)</f>
        <v>0</v>
      </c>
      <c r="T28" s="127" t="e">
        <f>'[1]TM'!I723</f>
        <v>#REF!</v>
      </c>
      <c r="U28" s="127" t="e">
        <f>T28-S28</f>
        <v>#REF!</v>
      </c>
    </row>
    <row r="29" spans="1:19" s="111" customFormat="1" ht="15.75" customHeight="1">
      <c r="A29" s="108" t="s">
        <v>217</v>
      </c>
      <c r="B29" s="108" t="s">
        <v>250</v>
      </c>
      <c r="C29" s="108"/>
      <c r="D29" s="108"/>
      <c r="E29" s="108"/>
      <c r="F29" s="108"/>
      <c r="G29" s="108"/>
      <c r="H29" s="109" t="s">
        <v>251</v>
      </c>
      <c r="I29" s="109"/>
      <c r="J29" s="109"/>
      <c r="K29" s="109"/>
      <c r="L29" s="60">
        <v>0</v>
      </c>
      <c r="M29" s="110"/>
      <c r="N29" s="60">
        <v>0</v>
      </c>
      <c r="O29" s="117">
        <v>0</v>
      </c>
      <c r="P29" s="117"/>
      <c r="Q29" s="117"/>
      <c r="R29" s="117"/>
      <c r="S29" s="117">
        <f t="shared" si="0"/>
        <v>0</v>
      </c>
    </row>
    <row r="30" spans="1:19" s="111" customFormat="1" ht="31.5" customHeight="1">
      <c r="A30" s="128" t="s">
        <v>252</v>
      </c>
      <c r="B30" s="733" t="s">
        <v>253</v>
      </c>
      <c r="C30" s="733"/>
      <c r="D30" s="733"/>
      <c r="E30" s="733"/>
      <c r="F30" s="733"/>
      <c r="G30" s="108"/>
      <c r="H30" s="129" t="s">
        <v>254</v>
      </c>
      <c r="I30" s="109"/>
      <c r="J30" s="109"/>
      <c r="K30" s="109"/>
      <c r="L30" s="60">
        <v>0</v>
      </c>
      <c r="M30" s="110"/>
      <c r="N30" s="60">
        <v>0</v>
      </c>
      <c r="O30" s="117">
        <v>0</v>
      </c>
      <c r="P30" s="117"/>
      <c r="Q30" s="117"/>
      <c r="R30" s="117"/>
      <c r="S30" s="117">
        <f t="shared" si="0"/>
        <v>0</v>
      </c>
    </row>
    <row r="31" spans="1:19" s="111" customFormat="1" ht="15.75" customHeight="1">
      <c r="A31" s="108" t="s">
        <v>255</v>
      </c>
      <c r="B31" s="108" t="s">
        <v>256</v>
      </c>
      <c r="C31" s="108"/>
      <c r="D31" s="108"/>
      <c r="E31" s="108"/>
      <c r="F31" s="108"/>
      <c r="G31" s="108"/>
      <c r="H31" s="109" t="s">
        <v>257</v>
      </c>
      <c r="I31" s="109"/>
      <c r="J31" s="109"/>
      <c r="K31" s="109"/>
      <c r="L31" s="60">
        <v>0</v>
      </c>
      <c r="M31" s="110"/>
      <c r="N31" s="60">
        <v>0</v>
      </c>
      <c r="O31" s="117">
        <v>0</v>
      </c>
      <c r="P31" s="117"/>
      <c r="Q31" s="117"/>
      <c r="R31" s="117"/>
      <c r="S31" s="117">
        <f>SUM(O31:Q31)</f>
        <v>0</v>
      </c>
    </row>
    <row r="32" spans="1:19" s="111" customFormat="1" ht="15.75" customHeight="1">
      <c r="A32" s="108" t="s">
        <v>258</v>
      </c>
      <c r="B32" s="108" t="s">
        <v>259</v>
      </c>
      <c r="C32" s="108"/>
      <c r="D32" s="108"/>
      <c r="E32" s="108"/>
      <c r="F32" s="108"/>
      <c r="G32" s="108"/>
      <c r="H32" s="109" t="s">
        <v>260</v>
      </c>
      <c r="I32" s="109"/>
      <c r="J32" s="109"/>
      <c r="K32" s="109"/>
      <c r="L32" s="60">
        <v>0</v>
      </c>
      <c r="M32" s="110"/>
      <c r="N32" s="656">
        <v>11500000000</v>
      </c>
      <c r="O32" s="117"/>
      <c r="P32" s="117"/>
      <c r="Q32" s="117"/>
      <c r="R32" s="117"/>
      <c r="S32" s="117">
        <f t="shared" si="0"/>
        <v>0</v>
      </c>
    </row>
    <row r="33" spans="1:20" s="111" customFormat="1" ht="15.75" customHeight="1">
      <c r="A33" s="108" t="s">
        <v>261</v>
      </c>
      <c r="B33" s="108" t="s">
        <v>262</v>
      </c>
      <c r="C33" s="108"/>
      <c r="D33" s="108"/>
      <c r="E33" s="108"/>
      <c r="F33" s="108"/>
      <c r="G33" s="108"/>
      <c r="H33" s="109">
        <v>27</v>
      </c>
      <c r="I33" s="109"/>
      <c r="J33" s="109"/>
      <c r="K33" s="109"/>
      <c r="L33" s="60"/>
      <c r="M33" s="110"/>
      <c r="N33" s="60"/>
      <c r="O33" s="117">
        <v>87738203</v>
      </c>
      <c r="P33" s="117">
        <v>0</v>
      </c>
      <c r="Q33" s="117">
        <f>0.76*20828</f>
        <v>15829.28</v>
      </c>
      <c r="R33" s="117"/>
      <c r="S33" s="117">
        <f t="shared" si="0"/>
        <v>87754032.28</v>
      </c>
      <c r="T33" s="121">
        <f>L33-S33</f>
        <v>-87754032.28</v>
      </c>
    </row>
    <row r="34" spans="1:19" s="106" customFormat="1" ht="19.5" customHeight="1">
      <c r="A34" s="102"/>
      <c r="B34" s="101" t="s">
        <v>263</v>
      </c>
      <c r="C34" s="102"/>
      <c r="D34" s="102"/>
      <c r="E34" s="102"/>
      <c r="F34" s="102"/>
      <c r="G34" s="102"/>
      <c r="H34" s="103" t="s">
        <v>264</v>
      </c>
      <c r="I34" s="103"/>
      <c r="J34" s="103"/>
      <c r="K34" s="103"/>
      <c r="L34" s="130">
        <f>SUM(L27:L33)</f>
        <v>-8779680673</v>
      </c>
      <c r="M34" s="112"/>
      <c r="N34" s="130">
        <f>SUM(N27:N33)</f>
        <v>11413500000</v>
      </c>
      <c r="O34" s="124"/>
      <c r="P34" s="124"/>
      <c r="Q34" s="124"/>
      <c r="R34" s="124"/>
      <c r="S34" s="124"/>
    </row>
    <row r="35" spans="1:19" s="106" customFormat="1" ht="19.5" customHeight="1">
      <c r="A35" s="102"/>
      <c r="B35" s="101"/>
      <c r="C35" s="102"/>
      <c r="D35" s="102"/>
      <c r="E35" s="102"/>
      <c r="F35" s="102"/>
      <c r="G35" s="102"/>
      <c r="H35" s="103"/>
      <c r="I35" s="103"/>
      <c r="J35" s="103"/>
      <c r="K35" s="103"/>
      <c r="L35" s="59"/>
      <c r="M35" s="112"/>
      <c r="N35" s="59"/>
      <c r="O35" s="124"/>
      <c r="P35" s="124"/>
      <c r="Q35" s="124"/>
      <c r="R35" s="124"/>
      <c r="S35" s="124"/>
    </row>
    <row r="36" spans="1:19" s="106" customFormat="1" ht="19.5" customHeight="1">
      <c r="A36" s="102"/>
      <c r="B36" s="101"/>
      <c r="C36" s="102"/>
      <c r="D36" s="102"/>
      <c r="E36" s="102"/>
      <c r="F36" s="102"/>
      <c r="G36" s="102"/>
      <c r="H36" s="103"/>
      <c r="I36" s="103"/>
      <c r="J36" s="103"/>
      <c r="K36" s="103"/>
      <c r="L36" s="59"/>
      <c r="M36" s="112"/>
      <c r="N36" s="59"/>
      <c r="O36" s="126"/>
      <c r="P36" s="124"/>
      <c r="Q36" s="124"/>
      <c r="R36" s="124"/>
      <c r="S36" s="124"/>
    </row>
    <row r="37" spans="1:19" s="80" customFormat="1" ht="30" customHeight="1">
      <c r="A37" s="131" t="s">
        <v>265</v>
      </c>
      <c r="B37" s="132"/>
      <c r="C37" s="132"/>
      <c r="D37" s="132"/>
      <c r="E37" s="132"/>
      <c r="F37" s="132"/>
      <c r="G37" s="132"/>
      <c r="H37" s="133"/>
      <c r="I37" s="133"/>
      <c r="J37" s="133"/>
      <c r="K37" s="133"/>
      <c r="L37" s="98"/>
      <c r="M37" s="134"/>
      <c r="N37" s="98"/>
      <c r="O37" s="135"/>
      <c r="P37" s="135"/>
      <c r="Q37" s="135"/>
      <c r="R37" s="135"/>
      <c r="S37" s="136"/>
    </row>
    <row r="38" spans="1:19" s="111" customFormat="1" ht="32.25" customHeight="1">
      <c r="A38" s="128" t="s">
        <v>202</v>
      </c>
      <c r="B38" s="734" t="s">
        <v>266</v>
      </c>
      <c r="C38" s="734"/>
      <c r="D38" s="734"/>
      <c r="E38" s="734"/>
      <c r="F38" s="734"/>
      <c r="G38" s="39"/>
      <c r="H38" s="137" t="s">
        <v>267</v>
      </c>
      <c r="I38" s="109"/>
      <c r="J38" s="109"/>
      <c r="K38" s="109"/>
      <c r="L38" s="60">
        <v>5663678000</v>
      </c>
      <c r="M38" s="110"/>
      <c r="N38" s="60"/>
      <c r="O38" s="138"/>
      <c r="P38" s="138"/>
      <c r="Q38" s="138"/>
      <c r="R38" s="116"/>
      <c r="S38" s="117">
        <f>SUM(O38:Q38)</f>
        <v>0</v>
      </c>
    </row>
    <row r="39" spans="1:19" s="111" customFormat="1" ht="32.25" customHeight="1">
      <c r="A39" s="128" t="s">
        <v>205</v>
      </c>
      <c r="B39" s="734" t="s">
        <v>268</v>
      </c>
      <c r="C39" s="734"/>
      <c r="D39" s="734"/>
      <c r="E39" s="734"/>
      <c r="F39" s="734"/>
      <c r="G39" s="39"/>
      <c r="H39" s="137" t="s">
        <v>269</v>
      </c>
      <c r="I39" s="109"/>
      <c r="J39" s="109"/>
      <c r="K39" s="109"/>
      <c r="L39" s="60">
        <v>0</v>
      </c>
      <c r="M39" s="110"/>
      <c r="N39" s="60">
        <v>0</v>
      </c>
      <c r="O39" s="138"/>
      <c r="P39" s="138"/>
      <c r="Q39" s="138"/>
      <c r="R39" s="116"/>
      <c r="S39" s="117">
        <f>SUM(O39:Q39)</f>
        <v>0</v>
      </c>
    </row>
    <row r="40" spans="1:21" s="106" customFormat="1" ht="15.75" customHeight="1">
      <c r="A40" s="102" t="s">
        <v>217</v>
      </c>
      <c r="B40" s="102" t="s">
        <v>270</v>
      </c>
      <c r="C40" s="102"/>
      <c r="D40" s="102"/>
      <c r="E40" s="102"/>
      <c r="F40" s="102"/>
      <c r="G40" s="102"/>
      <c r="H40" s="109" t="s">
        <v>271</v>
      </c>
      <c r="I40" s="109"/>
      <c r="J40" s="109"/>
      <c r="K40" s="109"/>
      <c r="L40" s="60">
        <v>63079639352</v>
      </c>
      <c r="M40" s="110"/>
      <c r="N40" s="601">
        <f>2736661000+1379762493</f>
        <v>4116423493</v>
      </c>
      <c r="O40" s="138">
        <v>41450558007</v>
      </c>
      <c r="P40" s="138">
        <v>0</v>
      </c>
      <c r="Q40" s="138">
        <v>0</v>
      </c>
      <c r="R40" s="124"/>
      <c r="S40" s="117">
        <f>SUM(O40:Q40)</f>
        <v>41450558007</v>
      </c>
      <c r="T40" s="139">
        <f>L40-S40</f>
        <v>21629081345</v>
      </c>
      <c r="U40" s="140" t="s">
        <v>272</v>
      </c>
    </row>
    <row r="41" spans="1:19" s="106" customFormat="1" ht="15.75" customHeight="1">
      <c r="A41" s="102" t="s">
        <v>252</v>
      </c>
      <c r="B41" s="102" t="s">
        <v>273</v>
      </c>
      <c r="C41" s="102"/>
      <c r="D41" s="102"/>
      <c r="E41" s="102"/>
      <c r="F41" s="102"/>
      <c r="G41" s="102"/>
      <c r="H41" s="109" t="s">
        <v>274</v>
      </c>
      <c r="I41" s="109"/>
      <c r="J41" s="109"/>
      <c r="K41" s="109"/>
      <c r="L41" s="60">
        <v>-55823618051</v>
      </c>
      <c r="M41" s="110"/>
      <c r="N41" s="601">
        <v>-63674799620</v>
      </c>
      <c r="O41" s="138">
        <v>-31081262425</v>
      </c>
      <c r="P41" s="138">
        <v>0</v>
      </c>
      <c r="Q41" s="138">
        <f>-106500*20828</f>
        <v>-2218182000</v>
      </c>
      <c r="R41" s="124"/>
      <c r="S41" s="117">
        <f>SUM(O41:Q41)</f>
        <v>-33299444425</v>
      </c>
    </row>
    <row r="42" spans="1:19" s="106" customFormat="1" ht="15.75" customHeight="1">
      <c r="A42" s="102" t="s">
        <v>255</v>
      </c>
      <c r="B42" s="102" t="s">
        <v>275</v>
      </c>
      <c r="C42" s="102"/>
      <c r="D42" s="102"/>
      <c r="E42" s="102"/>
      <c r="F42" s="102"/>
      <c r="G42" s="102"/>
      <c r="H42" s="109" t="s">
        <v>276</v>
      </c>
      <c r="I42" s="109"/>
      <c r="J42" s="109"/>
      <c r="K42" s="109"/>
      <c r="L42" s="60">
        <v>0</v>
      </c>
      <c r="M42" s="110"/>
      <c r="N42" s="60">
        <v>0</v>
      </c>
      <c r="O42" s="138"/>
      <c r="P42" s="138"/>
      <c r="Q42" s="138"/>
      <c r="R42" s="124"/>
      <c r="S42" s="117">
        <f>SUM(S40:S41)-'[1]CDKT '!L77</f>
        <v>0</v>
      </c>
    </row>
    <row r="43" spans="1:19" s="106" customFormat="1" ht="15.75" customHeight="1">
      <c r="A43" s="102" t="s">
        <v>258</v>
      </c>
      <c r="B43" s="102" t="s">
        <v>277</v>
      </c>
      <c r="C43" s="102"/>
      <c r="D43" s="102"/>
      <c r="E43" s="102"/>
      <c r="F43" s="102"/>
      <c r="G43" s="102"/>
      <c r="H43" s="109" t="s">
        <v>278</v>
      </c>
      <c r="I43" s="109"/>
      <c r="J43" s="109"/>
      <c r="K43" s="109"/>
      <c r="L43" s="60">
        <v>0</v>
      </c>
      <c r="M43" s="110"/>
      <c r="N43" s="60">
        <v>0</v>
      </c>
      <c r="O43" s="124"/>
      <c r="P43" s="124"/>
      <c r="Q43" s="124"/>
      <c r="R43" s="124"/>
      <c r="S43" s="124"/>
    </row>
    <row r="44" spans="1:19" s="106" customFormat="1" ht="19.5" customHeight="1">
      <c r="A44" s="102"/>
      <c r="B44" s="101" t="s">
        <v>279</v>
      </c>
      <c r="C44" s="102"/>
      <c r="D44" s="102"/>
      <c r="E44" s="102"/>
      <c r="F44" s="102"/>
      <c r="G44" s="102"/>
      <c r="H44" s="103" t="s">
        <v>280</v>
      </c>
      <c r="I44" s="103"/>
      <c r="J44" s="103"/>
      <c r="K44" s="103"/>
      <c r="L44" s="59">
        <f>SUM(L38:L43)</f>
        <v>12919699301</v>
      </c>
      <c r="M44" s="112"/>
      <c r="N44" s="59">
        <f>SUM(N38:N43)</f>
        <v>-59558376127</v>
      </c>
      <c r="O44" s="124"/>
      <c r="P44" s="124"/>
      <c r="Q44" s="124"/>
      <c r="R44" s="124"/>
      <c r="S44" s="124"/>
    </row>
    <row r="45" spans="1:19" s="106" customFormat="1" ht="19.5" customHeight="1">
      <c r="A45" s="102"/>
      <c r="B45" s="101" t="s">
        <v>281</v>
      </c>
      <c r="C45" s="102"/>
      <c r="D45" s="102"/>
      <c r="E45" s="102"/>
      <c r="F45" s="102"/>
      <c r="G45" s="102"/>
      <c r="H45" s="103" t="s">
        <v>282</v>
      </c>
      <c r="I45" s="103"/>
      <c r="J45" s="103"/>
      <c r="K45" s="103"/>
      <c r="L45" s="59">
        <f>L44+L34+L25</f>
        <v>-13017545158</v>
      </c>
      <c r="M45" s="112"/>
      <c r="N45" s="59">
        <f>N44+N34+N25</f>
        <v>-4405142277</v>
      </c>
      <c r="O45" s="124"/>
      <c r="P45" s="124"/>
      <c r="Q45" s="124"/>
      <c r="R45" s="124"/>
      <c r="S45" s="124"/>
    </row>
    <row r="46" spans="1:19" s="106" customFormat="1" ht="19.5" customHeight="1">
      <c r="A46" s="102"/>
      <c r="B46" s="101" t="s">
        <v>283</v>
      </c>
      <c r="C46" s="102"/>
      <c r="D46" s="102"/>
      <c r="E46" s="102"/>
      <c r="F46" s="102"/>
      <c r="G46" s="102"/>
      <c r="H46" s="103" t="s">
        <v>284</v>
      </c>
      <c r="I46" s="103"/>
      <c r="J46" s="103"/>
      <c r="K46" s="103"/>
      <c r="L46" s="605">
        <v>16273228176</v>
      </c>
      <c r="M46" s="112"/>
      <c r="N46" s="59">
        <v>6918111436</v>
      </c>
      <c r="O46" s="124"/>
      <c r="P46" s="124"/>
      <c r="Q46" s="124"/>
      <c r="R46" s="124"/>
      <c r="S46" s="124"/>
    </row>
    <row r="47" spans="1:14" s="106" customFormat="1" ht="33" customHeight="1">
      <c r="A47" s="102"/>
      <c r="B47" s="735" t="s">
        <v>285</v>
      </c>
      <c r="C47" s="735"/>
      <c r="D47" s="735"/>
      <c r="E47" s="735"/>
      <c r="F47" s="735"/>
      <c r="G47" s="102"/>
      <c r="H47" s="109">
        <v>61</v>
      </c>
      <c r="I47" s="109"/>
      <c r="J47" s="109"/>
      <c r="K47" s="109"/>
      <c r="L47" s="60">
        <v>0</v>
      </c>
      <c r="M47" s="110"/>
      <c r="N47" s="60">
        <v>0</v>
      </c>
    </row>
    <row r="48" spans="1:16" s="106" customFormat="1" ht="19.5" customHeight="1" thickBot="1">
      <c r="A48" s="102"/>
      <c r="B48" s="101" t="s">
        <v>286</v>
      </c>
      <c r="C48" s="102"/>
      <c r="D48" s="102"/>
      <c r="E48" s="102"/>
      <c r="F48" s="102"/>
      <c r="G48" s="102"/>
      <c r="H48" s="103" t="s">
        <v>287</v>
      </c>
      <c r="I48" s="103"/>
      <c r="J48" s="103"/>
      <c r="K48" s="103"/>
      <c r="L48" s="141">
        <f>L45+L46+L47</f>
        <v>3255683018</v>
      </c>
      <c r="M48" s="112"/>
      <c r="N48" s="141">
        <f>N45+N46+N47</f>
        <v>2512969159</v>
      </c>
      <c r="O48" s="142">
        <f>L48-'[1]CDKT '!I10</f>
        <v>918215275</v>
      </c>
      <c r="P48" s="142"/>
    </row>
    <row r="49" spans="1:14" s="106" customFormat="1" ht="15" customHeight="1" thickTop="1">
      <c r="A49" s="102"/>
      <c r="B49" s="101"/>
      <c r="C49" s="102"/>
      <c r="D49" s="102"/>
      <c r="E49" s="102"/>
      <c r="F49" s="102"/>
      <c r="G49" s="102"/>
      <c r="H49" s="103"/>
      <c r="I49" s="103"/>
      <c r="J49" s="103"/>
      <c r="K49" s="103"/>
      <c r="L49" s="606"/>
      <c r="M49" s="143"/>
      <c r="N49" s="144"/>
    </row>
    <row r="50" spans="1:14" s="106" customFormat="1" ht="18.75" customHeight="1">
      <c r="A50" s="102"/>
      <c r="B50" s="101"/>
      <c r="C50" s="102"/>
      <c r="D50" s="102"/>
      <c r="E50" s="102"/>
      <c r="F50" s="102"/>
      <c r="G50" s="102"/>
      <c r="H50" s="737" t="s">
        <v>1076</v>
      </c>
      <c r="I50" s="737"/>
      <c r="J50" s="737"/>
      <c r="K50" s="737"/>
      <c r="L50" s="737"/>
      <c r="M50" s="737"/>
      <c r="N50" s="737"/>
    </row>
    <row r="51" spans="2:14" s="145" customFormat="1" ht="20.25" customHeight="1">
      <c r="B51" s="146" t="str">
        <f>'[1]TTC'!A19</f>
        <v>Kế toán trưởng</v>
      </c>
      <c r="C51" s="146"/>
      <c r="D51" s="146"/>
      <c r="E51" s="147"/>
      <c r="F51" s="146"/>
      <c r="G51" s="148"/>
      <c r="H51" s="149"/>
      <c r="I51" s="149"/>
      <c r="J51" s="149"/>
      <c r="K51" s="150"/>
      <c r="L51" s="738" t="str">
        <f>'[1]TTC'!A18</f>
        <v>Tổng Giám đốc</v>
      </c>
      <c r="M51" s="738"/>
      <c r="N51" s="738"/>
    </row>
    <row r="52" spans="2:14" s="145" customFormat="1" ht="21" customHeight="1">
      <c r="B52" s="151"/>
      <c r="C52" s="152"/>
      <c r="D52" s="152"/>
      <c r="E52" s="153"/>
      <c r="F52" s="152"/>
      <c r="G52" s="153"/>
      <c r="H52" s="154"/>
      <c r="I52" s="154"/>
      <c r="J52" s="154"/>
      <c r="K52" s="154"/>
      <c r="L52" s="155"/>
      <c r="M52" s="156"/>
      <c r="N52" s="156"/>
    </row>
    <row r="53" spans="2:14" s="145" customFormat="1" ht="15">
      <c r="B53" s="157"/>
      <c r="C53" s="158"/>
      <c r="D53" s="158"/>
      <c r="F53" s="158"/>
      <c r="H53" s="154"/>
      <c r="I53" s="154"/>
      <c r="J53" s="159"/>
      <c r="K53" s="159"/>
      <c r="L53" s="155"/>
      <c r="M53" s="156"/>
      <c r="N53" s="104"/>
    </row>
    <row r="54" spans="2:14" s="145" customFormat="1" ht="15">
      <c r="B54" s="157"/>
      <c r="C54" s="158"/>
      <c r="D54" s="158"/>
      <c r="F54" s="158"/>
      <c r="H54" s="159"/>
      <c r="I54" s="159"/>
      <c r="J54" s="159"/>
      <c r="K54" s="159"/>
      <c r="L54" s="155"/>
      <c r="M54" s="104"/>
      <c r="N54" s="104">
        <f>2512969159-N48</f>
        <v>0</v>
      </c>
    </row>
    <row r="55" spans="2:14" s="145" customFormat="1" ht="15">
      <c r="B55" s="157"/>
      <c r="C55" s="158"/>
      <c r="D55" s="158"/>
      <c r="F55" s="158"/>
      <c r="H55" s="159"/>
      <c r="I55" s="159"/>
      <c r="J55" s="159"/>
      <c r="K55" s="159"/>
      <c r="L55" s="155"/>
      <c r="M55" s="104"/>
      <c r="N55" s="104"/>
    </row>
    <row r="56" spans="2:14" s="160" customFormat="1" ht="15">
      <c r="B56" s="161"/>
      <c r="C56" s="162"/>
      <c r="D56" s="162"/>
      <c r="F56" s="163"/>
      <c r="G56" s="163"/>
      <c r="H56" s="163"/>
      <c r="I56" s="164"/>
      <c r="J56" s="164"/>
      <c r="K56" s="164"/>
      <c r="L56" s="739"/>
      <c r="M56" s="739"/>
      <c r="N56" s="739"/>
    </row>
    <row r="57" spans="2:14" s="145" customFormat="1" ht="15">
      <c r="B57" s="157"/>
      <c r="C57" s="158"/>
      <c r="D57" s="158"/>
      <c r="F57" s="158"/>
      <c r="H57" s="159"/>
      <c r="I57" s="159"/>
      <c r="J57" s="159"/>
      <c r="K57" s="159"/>
      <c r="L57" s="155"/>
      <c r="M57" s="104"/>
      <c r="N57" s="104"/>
    </row>
    <row r="58" spans="2:14" s="67" customFormat="1" ht="12.75">
      <c r="B58" s="165"/>
      <c r="C58" s="165"/>
      <c r="D58" s="165"/>
      <c r="F58" s="165"/>
      <c r="H58" s="166"/>
      <c r="I58" s="166"/>
      <c r="J58" s="166"/>
      <c r="K58" s="71"/>
      <c r="L58" s="740"/>
      <c r="M58" s="740"/>
      <c r="N58" s="740"/>
    </row>
    <row r="59" spans="12:14" ht="12.75">
      <c r="L59" s="142"/>
      <c r="M59" s="79"/>
      <c r="N59" s="79"/>
    </row>
    <row r="60" spans="12:14" ht="12.75">
      <c r="L60" s="142"/>
      <c r="M60" s="79"/>
      <c r="N60" s="79"/>
    </row>
    <row r="61" spans="12:14" ht="12.75">
      <c r="L61" s="142"/>
      <c r="M61" s="79"/>
      <c r="N61" s="79"/>
    </row>
    <row r="62" spans="12:14" ht="12.75">
      <c r="L62" s="142"/>
      <c r="M62" s="79"/>
      <c r="N62" s="79"/>
    </row>
    <row r="63" spans="12:14" ht="12.75">
      <c r="L63" s="142"/>
      <c r="M63" s="79"/>
      <c r="N63" s="79"/>
    </row>
    <row r="64" spans="12:14" ht="12.75">
      <c r="L64" s="142"/>
      <c r="M64" s="79"/>
      <c r="N64" s="79"/>
    </row>
    <row r="65" spans="12:14" ht="12.75">
      <c r="L65" s="142"/>
      <c r="M65" s="79"/>
      <c r="N65" s="79"/>
    </row>
    <row r="66" spans="12:14" ht="12.75">
      <c r="L66" s="142"/>
      <c r="M66" s="79"/>
      <c r="N66" s="79"/>
    </row>
    <row r="67" spans="12:14" ht="12.75">
      <c r="L67" s="142"/>
      <c r="M67" s="79"/>
      <c r="N67" s="79"/>
    </row>
    <row r="68" spans="12:14" ht="12.75">
      <c r="L68" s="142"/>
      <c r="M68" s="79"/>
      <c r="N68" s="79"/>
    </row>
    <row r="69" spans="12:14" ht="12.75">
      <c r="L69" s="142"/>
      <c r="M69" s="79"/>
      <c r="N69" s="79"/>
    </row>
    <row r="70" spans="12:14" ht="12.75">
      <c r="L70" s="142"/>
      <c r="M70" s="79"/>
      <c r="N70" s="79"/>
    </row>
    <row r="71" spans="12:14" ht="12.75">
      <c r="L71" s="142"/>
      <c r="M71" s="79"/>
      <c r="N71" s="79"/>
    </row>
    <row r="72" spans="12:14" ht="12.75">
      <c r="L72" s="142"/>
      <c r="M72" s="79"/>
      <c r="N72" s="79"/>
    </row>
    <row r="73" spans="12:14" ht="12.75">
      <c r="L73" s="142"/>
      <c r="M73" s="79"/>
      <c r="N73" s="79"/>
    </row>
    <row r="74" spans="12:14" ht="12.75">
      <c r="L74" s="142"/>
      <c r="M74" s="79"/>
      <c r="N74" s="79"/>
    </row>
    <row r="75" spans="12:14" ht="12.75">
      <c r="L75" s="142"/>
      <c r="M75" s="79"/>
      <c r="N75" s="79"/>
    </row>
    <row r="76" spans="12:14" ht="12.75">
      <c r="L76" s="142"/>
      <c r="M76" s="79"/>
      <c r="N76" s="79"/>
    </row>
    <row r="77" spans="12:14" ht="12.75">
      <c r="L77" s="142"/>
      <c r="M77" s="79"/>
      <c r="N77" s="79"/>
    </row>
    <row r="78" spans="12:14" ht="12.75">
      <c r="L78" s="142"/>
      <c r="M78" s="79"/>
      <c r="N78" s="79"/>
    </row>
    <row r="79" spans="12:14" ht="12.75">
      <c r="L79" s="142"/>
      <c r="M79" s="79"/>
      <c r="N79" s="79"/>
    </row>
  </sheetData>
  <sheetProtection/>
  <mergeCells count="11">
    <mergeCell ref="H50:N50"/>
    <mergeCell ref="L51:N51"/>
    <mergeCell ref="L56:N56"/>
    <mergeCell ref="L58:N58"/>
    <mergeCell ref="A7:F7"/>
    <mergeCell ref="B19:F19"/>
    <mergeCell ref="B30:F30"/>
    <mergeCell ref="B38:F38"/>
    <mergeCell ref="B39:F39"/>
    <mergeCell ref="B47:F47"/>
    <mergeCell ref="B16:F16"/>
  </mergeCells>
  <printOptions/>
  <pageMargins left="0.19" right="0.18" top="0.55" bottom="0.85" header="0.2" footer="0.2"/>
  <pageSetup firstPageNumber="4" useFirstPageNumber="1" horizontalDpi="600" verticalDpi="600" orientation="portrait" paperSize="9" r:id="rId1"/>
  <headerFooter alignWithMargins="0">
    <oddFooter>&amp;CPage 5</oddFooter>
  </headerFooter>
</worksheet>
</file>

<file path=xl/worksheets/sheet5.xml><?xml version="1.0" encoding="utf-8"?>
<worksheet xmlns="http://schemas.openxmlformats.org/spreadsheetml/2006/main" xmlns:r="http://schemas.openxmlformats.org/officeDocument/2006/relationships">
  <sheetPr>
    <tabColor rgb="FFFF0000"/>
  </sheetPr>
  <dimension ref="A1:IN822"/>
  <sheetViews>
    <sheetView workbookViewId="0" topLeftCell="A516">
      <selection activeCell="AA582" sqref="AA582"/>
    </sheetView>
  </sheetViews>
  <sheetFormatPr defaultColWidth="9.00390625" defaultRowHeight="19.5" customHeight="1"/>
  <cols>
    <col min="1" max="1" width="3.625" style="182" customWidth="1"/>
    <col min="2" max="2" width="3.25390625" style="183" customWidth="1"/>
    <col min="3" max="3" width="22.375" style="183" customWidth="1"/>
    <col min="4" max="4" width="0.6171875" style="183" customWidth="1"/>
    <col min="5" max="5" width="14.625" style="183" customWidth="1"/>
    <col min="6" max="6" width="0.37109375" style="183" customWidth="1"/>
    <col min="7" max="7" width="16.625" style="183" customWidth="1"/>
    <col min="8" max="8" width="0.6171875" style="183" customWidth="1"/>
    <col min="9" max="9" width="17.25390625" style="184" customWidth="1"/>
    <col min="10" max="10" width="0.6171875" style="184" customWidth="1"/>
    <col min="11" max="11" width="17.375" style="184" customWidth="1"/>
    <col min="12" max="12" width="17.125" style="174" hidden="1" customWidth="1"/>
    <col min="13" max="13" width="17.75390625" style="175" hidden="1" customWidth="1"/>
    <col min="14" max="14" width="16.375" style="175" hidden="1" customWidth="1"/>
    <col min="15" max="15" width="16.75390625" style="175" hidden="1" customWidth="1"/>
    <col min="16" max="16" width="14.375" style="175" hidden="1" customWidth="1"/>
    <col min="17" max="17" width="16.25390625" style="175" hidden="1" customWidth="1"/>
    <col min="18" max="23" width="0" style="175" hidden="1" customWidth="1"/>
    <col min="24" max="24" width="12.75390625" style="175" customWidth="1"/>
    <col min="25" max="25" width="15.00390625" style="666" bestFit="1" customWidth="1"/>
    <col min="26" max="26" width="9.125" style="666" customWidth="1"/>
    <col min="27" max="27" width="17.625" style="666" bestFit="1" customWidth="1"/>
    <col min="28" max="16384" width="9.125" style="175" customWidth="1"/>
  </cols>
  <sheetData>
    <row r="1" spans="1:248" ht="19.5" customHeight="1">
      <c r="A1" s="169" t="str">
        <f>'[1]TTC'!D6</f>
        <v>CÔNG TY CỔ PHẦN CHẾ TẠO MÁY DZĨ AN</v>
      </c>
      <c r="B1" s="170"/>
      <c r="C1" s="171"/>
      <c r="D1" s="171"/>
      <c r="E1" s="172"/>
      <c r="F1" s="171"/>
      <c r="G1" s="173"/>
      <c r="H1" s="171"/>
      <c r="I1" s="70"/>
      <c r="J1" s="71"/>
      <c r="K1" s="72" t="s">
        <v>289</v>
      </c>
      <c r="V1" s="171"/>
      <c r="W1" s="171"/>
      <c r="X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c r="BS1" s="171"/>
      <c r="BT1" s="171"/>
      <c r="BU1" s="171"/>
      <c r="BV1" s="171"/>
      <c r="BW1" s="171"/>
      <c r="BX1" s="171"/>
      <c r="BY1" s="171"/>
      <c r="BZ1" s="171"/>
      <c r="CA1" s="171"/>
      <c r="CB1" s="171"/>
      <c r="CC1" s="171"/>
      <c r="CD1" s="171"/>
      <c r="CE1" s="171"/>
      <c r="CF1" s="171"/>
      <c r="CG1" s="171"/>
      <c r="CH1" s="171"/>
      <c r="CI1" s="171"/>
      <c r="CJ1" s="171"/>
      <c r="CK1" s="171"/>
      <c r="CL1" s="171"/>
      <c r="CM1" s="171"/>
      <c r="CN1" s="171"/>
      <c r="CO1" s="171"/>
      <c r="CP1" s="171"/>
      <c r="CQ1" s="171"/>
      <c r="CR1" s="171"/>
      <c r="CS1" s="171"/>
      <c r="CT1" s="171"/>
      <c r="CU1" s="171"/>
      <c r="CV1" s="171"/>
      <c r="CW1" s="171"/>
      <c r="CX1" s="171"/>
      <c r="CY1" s="171"/>
      <c r="CZ1" s="171"/>
      <c r="DA1" s="171"/>
      <c r="DB1" s="171"/>
      <c r="DC1" s="171"/>
      <c r="DD1" s="171"/>
      <c r="DE1" s="171"/>
      <c r="DF1" s="171"/>
      <c r="DG1" s="171"/>
      <c r="DH1" s="171"/>
      <c r="DI1" s="171"/>
      <c r="DJ1" s="171"/>
      <c r="DK1" s="171"/>
      <c r="DL1" s="171"/>
      <c r="DM1" s="171"/>
      <c r="DN1" s="171"/>
      <c r="DO1" s="171"/>
      <c r="DP1" s="171"/>
      <c r="DQ1" s="171"/>
      <c r="DR1" s="171"/>
      <c r="DS1" s="171"/>
      <c r="DT1" s="171"/>
      <c r="DU1" s="171"/>
      <c r="DV1" s="171"/>
      <c r="DW1" s="171"/>
      <c r="DX1" s="171"/>
      <c r="DY1" s="171"/>
      <c r="DZ1" s="171"/>
      <c r="EA1" s="171"/>
      <c r="EB1" s="171"/>
      <c r="EC1" s="171"/>
      <c r="ED1" s="171"/>
      <c r="EE1" s="171"/>
      <c r="EF1" s="171"/>
      <c r="EG1" s="171"/>
      <c r="EH1" s="171"/>
      <c r="EI1" s="171"/>
      <c r="EJ1" s="171"/>
      <c r="EK1" s="171"/>
      <c r="EL1" s="171"/>
      <c r="EM1" s="171"/>
      <c r="EN1" s="171"/>
      <c r="EO1" s="171"/>
      <c r="EP1" s="171"/>
      <c r="EQ1" s="171"/>
      <c r="ER1" s="171"/>
      <c r="ES1" s="171"/>
      <c r="ET1" s="171"/>
      <c r="EU1" s="171"/>
      <c r="EV1" s="171"/>
      <c r="EW1" s="171"/>
      <c r="EX1" s="171"/>
      <c r="EY1" s="171"/>
      <c r="EZ1" s="171"/>
      <c r="FA1" s="171"/>
      <c r="FB1" s="171"/>
      <c r="FC1" s="171"/>
      <c r="FD1" s="171"/>
      <c r="FE1" s="171"/>
      <c r="FF1" s="171"/>
      <c r="FG1" s="171"/>
      <c r="FH1" s="171"/>
      <c r="FI1" s="171"/>
      <c r="FJ1" s="171"/>
      <c r="FK1" s="171"/>
      <c r="FL1" s="171"/>
      <c r="FM1" s="171"/>
      <c r="FN1" s="171"/>
      <c r="FO1" s="171"/>
      <c r="FP1" s="171"/>
      <c r="FQ1" s="171"/>
      <c r="FR1" s="171"/>
      <c r="FS1" s="171"/>
      <c r="FT1" s="171"/>
      <c r="FU1" s="171"/>
      <c r="FV1" s="171"/>
      <c r="FW1" s="171"/>
      <c r="FX1" s="171"/>
      <c r="FY1" s="171"/>
      <c r="FZ1" s="171"/>
      <c r="GA1" s="171"/>
      <c r="GB1" s="171"/>
      <c r="GC1" s="171"/>
      <c r="GD1" s="171"/>
      <c r="GE1" s="171"/>
      <c r="GF1" s="171"/>
      <c r="GG1" s="171"/>
      <c r="GH1" s="171"/>
      <c r="GI1" s="171"/>
      <c r="GJ1" s="171"/>
      <c r="GK1" s="171"/>
      <c r="GL1" s="171"/>
      <c r="GM1" s="171"/>
      <c r="GN1" s="171"/>
      <c r="GO1" s="171"/>
      <c r="GP1" s="171"/>
      <c r="GQ1" s="171"/>
      <c r="GR1" s="171"/>
      <c r="GS1" s="171"/>
      <c r="GT1" s="171"/>
      <c r="GU1" s="171"/>
      <c r="GV1" s="171"/>
      <c r="GW1" s="171"/>
      <c r="GX1" s="171"/>
      <c r="GY1" s="171"/>
      <c r="GZ1" s="171"/>
      <c r="HA1" s="171"/>
      <c r="HB1" s="171"/>
      <c r="HC1" s="171"/>
      <c r="HD1" s="171"/>
      <c r="HE1" s="171"/>
      <c r="HF1" s="171"/>
      <c r="HG1" s="171"/>
      <c r="HH1" s="171"/>
      <c r="HI1" s="171"/>
      <c r="HJ1" s="171"/>
      <c r="HK1" s="171"/>
      <c r="HL1" s="171"/>
      <c r="HM1" s="171"/>
      <c r="HN1" s="171"/>
      <c r="HO1" s="171"/>
      <c r="HP1" s="171"/>
      <c r="HQ1" s="171"/>
      <c r="HR1" s="171"/>
      <c r="HS1" s="171"/>
      <c r="HT1" s="171"/>
      <c r="HU1" s="171"/>
      <c r="HV1" s="171"/>
      <c r="HW1" s="171"/>
      <c r="HX1" s="171"/>
      <c r="HY1" s="171"/>
      <c r="HZ1" s="171"/>
      <c r="IA1" s="171"/>
      <c r="IB1" s="171"/>
      <c r="IC1" s="171"/>
      <c r="ID1" s="171"/>
      <c r="IE1" s="171"/>
      <c r="IF1" s="171"/>
      <c r="IG1" s="171"/>
      <c r="IH1" s="171"/>
      <c r="II1" s="171"/>
      <c r="IJ1" s="171"/>
      <c r="IK1" s="171"/>
      <c r="IL1" s="171"/>
      <c r="IM1" s="171"/>
      <c r="IN1" s="171"/>
    </row>
    <row r="2" spans="1:248" ht="9.75" customHeight="1">
      <c r="A2" s="169"/>
      <c r="B2" s="170"/>
      <c r="C2" s="171"/>
      <c r="D2" s="171"/>
      <c r="E2" s="172"/>
      <c r="F2" s="171"/>
      <c r="G2" s="173"/>
      <c r="H2" s="171"/>
      <c r="I2" s="70"/>
      <c r="J2" s="71"/>
      <c r="K2" s="72"/>
      <c r="V2" s="171"/>
      <c r="W2" s="171"/>
      <c r="X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71"/>
      <c r="CF2" s="171"/>
      <c r="CG2" s="171"/>
      <c r="CH2" s="171"/>
      <c r="CI2" s="171"/>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c r="DH2" s="171"/>
      <c r="DI2" s="171"/>
      <c r="DJ2" s="171"/>
      <c r="DK2" s="171"/>
      <c r="DL2" s="171"/>
      <c r="DM2" s="171"/>
      <c r="DN2" s="171"/>
      <c r="DO2" s="171"/>
      <c r="DP2" s="171"/>
      <c r="DQ2" s="171"/>
      <c r="DR2" s="171"/>
      <c r="DS2" s="171"/>
      <c r="DT2" s="171"/>
      <c r="DU2" s="171"/>
      <c r="DV2" s="171"/>
      <c r="DW2" s="171"/>
      <c r="DX2" s="171"/>
      <c r="DY2" s="171"/>
      <c r="DZ2" s="171"/>
      <c r="EA2" s="171"/>
      <c r="EB2" s="171"/>
      <c r="EC2" s="171"/>
      <c r="ED2" s="171"/>
      <c r="EE2" s="171"/>
      <c r="EF2" s="171"/>
      <c r="EG2" s="171"/>
      <c r="EH2" s="171"/>
      <c r="EI2" s="171"/>
      <c r="EJ2" s="171"/>
      <c r="EK2" s="171"/>
      <c r="EL2" s="171"/>
      <c r="EM2" s="171"/>
      <c r="EN2" s="171"/>
      <c r="EO2" s="171"/>
      <c r="EP2" s="171"/>
      <c r="EQ2" s="171"/>
      <c r="ER2" s="171"/>
      <c r="ES2" s="171"/>
      <c r="ET2" s="171"/>
      <c r="EU2" s="171"/>
      <c r="EV2" s="171"/>
      <c r="EW2" s="171"/>
      <c r="EX2" s="171"/>
      <c r="EY2" s="171"/>
      <c r="EZ2" s="171"/>
      <c r="FA2" s="171"/>
      <c r="FB2" s="171"/>
      <c r="FC2" s="171"/>
      <c r="FD2" s="171"/>
      <c r="FE2" s="171"/>
      <c r="FF2" s="171"/>
      <c r="FG2" s="171"/>
      <c r="FH2" s="171"/>
      <c r="FI2" s="171"/>
      <c r="FJ2" s="171"/>
      <c r="FK2" s="171"/>
      <c r="FL2" s="171"/>
      <c r="FM2" s="171"/>
      <c r="FN2" s="171"/>
      <c r="FO2" s="171"/>
      <c r="FP2" s="171"/>
      <c r="FQ2" s="171"/>
      <c r="FR2" s="171"/>
      <c r="FS2" s="171"/>
      <c r="FT2" s="171"/>
      <c r="FU2" s="171"/>
      <c r="FV2" s="171"/>
      <c r="FW2" s="171"/>
      <c r="FX2" s="171"/>
      <c r="FY2" s="171"/>
      <c r="FZ2" s="171"/>
      <c r="GA2" s="171"/>
      <c r="GB2" s="171"/>
      <c r="GC2" s="171"/>
      <c r="GD2" s="171"/>
      <c r="GE2" s="171"/>
      <c r="GF2" s="171"/>
      <c r="GG2" s="171"/>
      <c r="GH2" s="171"/>
      <c r="GI2" s="171"/>
      <c r="GJ2" s="171"/>
      <c r="GK2" s="171"/>
      <c r="GL2" s="171"/>
      <c r="GM2" s="171"/>
      <c r="GN2" s="171"/>
      <c r="GO2" s="171"/>
      <c r="GP2" s="171"/>
      <c r="GQ2" s="171"/>
      <c r="GR2" s="171"/>
      <c r="GS2" s="171"/>
      <c r="GT2" s="171"/>
      <c r="GU2" s="171"/>
      <c r="GV2" s="171"/>
      <c r="GW2" s="171"/>
      <c r="GX2" s="171"/>
      <c r="GY2" s="171"/>
      <c r="GZ2" s="171"/>
      <c r="HA2" s="171"/>
      <c r="HB2" s="171"/>
      <c r="HC2" s="171"/>
      <c r="HD2" s="171"/>
      <c r="HE2" s="171"/>
      <c r="HF2" s="171"/>
      <c r="HG2" s="171"/>
      <c r="HH2" s="171"/>
      <c r="HI2" s="171"/>
      <c r="HJ2" s="171"/>
      <c r="HK2" s="171"/>
      <c r="HL2" s="171"/>
      <c r="HM2" s="171"/>
      <c r="HN2" s="171"/>
      <c r="HO2" s="171"/>
      <c r="HP2" s="171"/>
      <c r="HQ2" s="171"/>
      <c r="HR2" s="171"/>
      <c r="HS2" s="171"/>
      <c r="HT2" s="171"/>
      <c r="HU2" s="171"/>
      <c r="HV2" s="171"/>
      <c r="HW2" s="171"/>
      <c r="HX2" s="171"/>
      <c r="HY2" s="171"/>
      <c r="HZ2" s="171"/>
      <c r="IA2" s="171"/>
      <c r="IB2" s="171"/>
      <c r="IC2" s="171"/>
      <c r="ID2" s="171"/>
      <c r="IE2" s="171"/>
      <c r="IF2" s="171"/>
      <c r="IG2" s="171"/>
      <c r="IH2" s="171"/>
      <c r="II2" s="171"/>
      <c r="IJ2" s="171"/>
      <c r="IK2" s="171"/>
      <c r="IL2" s="171"/>
      <c r="IM2" s="171"/>
      <c r="IN2" s="171"/>
    </row>
    <row r="3" spans="1:11" ht="24.75" customHeight="1">
      <c r="A3" s="176" t="s">
        <v>111</v>
      </c>
      <c r="B3" s="177"/>
      <c r="C3" s="177"/>
      <c r="D3" s="177"/>
      <c r="E3" s="177"/>
      <c r="F3" s="177"/>
      <c r="G3" s="177"/>
      <c r="H3" s="177"/>
      <c r="I3" s="78"/>
      <c r="J3" s="78"/>
      <c r="K3" s="78"/>
    </row>
    <row r="4" spans="1:11" ht="19.5" customHeight="1">
      <c r="A4" s="178" t="s">
        <v>1053</v>
      </c>
      <c r="B4" s="179"/>
      <c r="C4" s="179"/>
      <c r="D4" s="179"/>
      <c r="E4" s="179"/>
      <c r="F4" s="179"/>
      <c r="G4" s="179"/>
      <c r="H4" s="179"/>
      <c r="I4" s="180"/>
      <c r="J4" s="180"/>
      <c r="K4" s="181" t="s">
        <v>199</v>
      </c>
    </row>
    <row r="6" spans="1:27" s="189" customFormat="1" ht="24" customHeight="1">
      <c r="A6" s="185" t="s">
        <v>290</v>
      </c>
      <c r="B6" s="186" t="s">
        <v>291</v>
      </c>
      <c r="C6" s="186"/>
      <c r="D6" s="186"/>
      <c r="E6" s="186"/>
      <c r="F6" s="186"/>
      <c r="G6" s="186"/>
      <c r="H6" s="186"/>
      <c r="I6" s="187"/>
      <c r="J6" s="187"/>
      <c r="K6" s="187"/>
      <c r="L6" s="188"/>
      <c r="Y6" s="466"/>
      <c r="Z6" s="466"/>
      <c r="AA6" s="466"/>
    </row>
    <row r="7" spans="1:27" s="189" customFormat="1" ht="24.75" customHeight="1">
      <c r="A7" s="185" t="s">
        <v>202</v>
      </c>
      <c r="B7" s="186" t="s">
        <v>292</v>
      </c>
      <c r="C7" s="186"/>
      <c r="D7" s="186"/>
      <c r="E7" s="186"/>
      <c r="F7" s="186"/>
      <c r="G7" s="186"/>
      <c r="H7" s="186"/>
      <c r="I7" s="187"/>
      <c r="J7" s="187"/>
      <c r="K7" s="187"/>
      <c r="L7" s="188"/>
      <c r="Y7" s="701"/>
      <c r="Z7" s="466"/>
      <c r="AA7" s="466"/>
    </row>
    <row r="8" spans="1:27" s="189" customFormat="1" ht="50.25" customHeight="1">
      <c r="A8" s="185"/>
      <c r="B8" s="741" t="s">
        <v>293</v>
      </c>
      <c r="C8" s="741"/>
      <c r="D8" s="741"/>
      <c r="E8" s="741"/>
      <c r="F8" s="741"/>
      <c r="G8" s="741"/>
      <c r="H8" s="741"/>
      <c r="I8" s="741"/>
      <c r="J8" s="741"/>
      <c r="K8" s="741"/>
      <c r="L8" s="190"/>
      <c r="Y8" s="466"/>
      <c r="Z8" s="466"/>
      <c r="AA8" s="466"/>
    </row>
    <row r="9" spans="1:27" s="189" customFormat="1" ht="19.5" customHeight="1">
      <c r="A9" s="185"/>
      <c r="B9" s="186" t="s">
        <v>294</v>
      </c>
      <c r="C9" s="191"/>
      <c r="D9" s="191"/>
      <c r="E9" s="191"/>
      <c r="F9" s="191"/>
      <c r="G9" s="191"/>
      <c r="H9" s="191"/>
      <c r="I9" s="192"/>
      <c r="J9" s="192"/>
      <c r="K9" s="192"/>
      <c r="L9" s="188"/>
      <c r="Y9" s="466"/>
      <c r="Z9" s="466"/>
      <c r="AA9" s="466"/>
    </row>
    <row r="10" spans="1:27" s="194" customFormat="1" ht="34.5" customHeight="1">
      <c r="A10" s="185"/>
      <c r="B10" s="742" t="s">
        <v>295</v>
      </c>
      <c r="C10" s="742"/>
      <c r="D10" s="742"/>
      <c r="E10" s="742"/>
      <c r="F10" s="742"/>
      <c r="G10" s="742"/>
      <c r="H10" s="742"/>
      <c r="I10" s="742"/>
      <c r="J10" s="742"/>
      <c r="K10" s="742"/>
      <c r="L10" s="191"/>
      <c r="Y10" s="667"/>
      <c r="Z10" s="667"/>
      <c r="AA10" s="667"/>
    </row>
    <row r="11" spans="1:27" s="189" customFormat="1" ht="19.5" customHeight="1">
      <c r="A11" s="185"/>
      <c r="B11" s="186" t="s">
        <v>296</v>
      </c>
      <c r="C11" s="191"/>
      <c r="D11" s="191"/>
      <c r="E11" s="191"/>
      <c r="F11" s="191"/>
      <c r="G11" s="191"/>
      <c r="H11" s="191"/>
      <c r="I11" s="192"/>
      <c r="J11" s="192"/>
      <c r="K11" s="192"/>
      <c r="L11" s="188"/>
      <c r="Y11" s="466"/>
      <c r="Z11" s="466"/>
      <c r="AA11" s="466"/>
    </row>
    <row r="12" spans="1:27" s="189" customFormat="1" ht="19.5" customHeight="1">
      <c r="A12" s="185"/>
      <c r="B12" s="195" t="s">
        <v>297</v>
      </c>
      <c r="C12" s="191"/>
      <c r="D12" s="191"/>
      <c r="E12" s="191"/>
      <c r="F12" s="191"/>
      <c r="G12" s="191"/>
      <c r="H12" s="191"/>
      <c r="I12" s="192"/>
      <c r="J12" s="192"/>
      <c r="K12" s="192"/>
      <c r="L12" s="188"/>
      <c r="Y12" s="466"/>
      <c r="Z12" s="466"/>
      <c r="AA12" s="466"/>
    </row>
    <row r="13" spans="1:27" s="189" customFormat="1" ht="7.5" customHeight="1">
      <c r="A13" s="185"/>
      <c r="B13" s="191"/>
      <c r="C13" s="191"/>
      <c r="D13" s="191"/>
      <c r="E13" s="191"/>
      <c r="F13" s="191"/>
      <c r="G13" s="191"/>
      <c r="H13" s="191"/>
      <c r="I13" s="192"/>
      <c r="J13" s="192"/>
      <c r="K13" s="192"/>
      <c r="L13" s="188"/>
      <c r="Y13" s="466"/>
      <c r="Z13" s="466"/>
      <c r="AA13" s="466"/>
    </row>
    <row r="14" spans="1:27" s="198" customFormat="1" ht="45.75" customHeight="1">
      <c r="A14" s="196"/>
      <c r="B14" s="196" t="s">
        <v>202</v>
      </c>
      <c r="C14" s="743" t="s">
        <v>298</v>
      </c>
      <c r="D14" s="743"/>
      <c r="E14" s="743"/>
      <c r="F14" s="743"/>
      <c r="G14" s="743"/>
      <c r="H14" s="743"/>
      <c r="I14" s="743"/>
      <c r="J14" s="743"/>
      <c r="K14" s="743"/>
      <c r="L14" s="197"/>
      <c r="M14" s="197"/>
      <c r="N14" s="197"/>
      <c r="O14" s="197"/>
      <c r="P14" s="197"/>
      <c r="Q14" s="197"/>
      <c r="R14" s="197"/>
      <c r="S14" s="197"/>
      <c r="T14" s="197"/>
      <c r="Y14" s="668"/>
      <c r="Z14" s="668"/>
      <c r="AA14" s="668"/>
    </row>
    <row r="15" spans="1:27" s="189" customFormat="1" ht="33" customHeight="1">
      <c r="A15" s="185"/>
      <c r="B15" s="186"/>
      <c r="C15" s="742" t="s">
        <v>299</v>
      </c>
      <c r="D15" s="742"/>
      <c r="E15" s="742"/>
      <c r="F15" s="742"/>
      <c r="G15" s="742"/>
      <c r="H15" s="742"/>
      <c r="I15" s="742"/>
      <c r="J15" s="742"/>
      <c r="K15" s="742"/>
      <c r="L15" s="188"/>
      <c r="Y15" s="466"/>
      <c r="Z15" s="466"/>
      <c r="AA15" s="466"/>
    </row>
    <row r="16" spans="1:27" s="189" customFormat="1" ht="34.5" customHeight="1">
      <c r="A16" s="185"/>
      <c r="B16" s="186"/>
      <c r="C16" s="742" t="s">
        <v>300</v>
      </c>
      <c r="D16" s="742"/>
      <c r="E16" s="742"/>
      <c r="F16" s="742"/>
      <c r="G16" s="742"/>
      <c r="H16" s="742"/>
      <c r="I16" s="742"/>
      <c r="J16" s="742"/>
      <c r="K16" s="742"/>
      <c r="L16" s="188"/>
      <c r="Y16" s="466"/>
      <c r="Z16" s="466"/>
      <c r="AA16" s="466"/>
    </row>
    <row r="17" spans="1:27" s="189" customFormat="1" ht="19.5" customHeight="1">
      <c r="A17" s="185"/>
      <c r="B17" s="191"/>
      <c r="C17" s="191" t="s">
        <v>0</v>
      </c>
      <c r="D17" s="191"/>
      <c r="E17" s="191"/>
      <c r="F17" s="191"/>
      <c r="G17" s="191"/>
      <c r="H17" s="191"/>
      <c r="I17" s="192"/>
      <c r="J17" s="192"/>
      <c r="K17" s="192"/>
      <c r="L17" s="188"/>
      <c r="Y17" s="466"/>
      <c r="Z17" s="466"/>
      <c r="AA17" s="466"/>
    </row>
    <row r="18" spans="1:27" s="189" customFormat="1" ht="3" customHeight="1">
      <c r="A18" s="185"/>
      <c r="B18" s="191"/>
      <c r="C18" s="191"/>
      <c r="D18" s="191"/>
      <c r="E18" s="191"/>
      <c r="F18" s="191"/>
      <c r="G18" s="191"/>
      <c r="H18" s="191"/>
      <c r="I18" s="192"/>
      <c r="J18" s="192"/>
      <c r="K18" s="192"/>
      <c r="L18" s="188"/>
      <c r="Y18" s="466"/>
      <c r="Z18" s="466"/>
      <c r="AA18" s="466"/>
    </row>
    <row r="19" spans="1:27" s="198" customFormat="1" ht="60.75" customHeight="1">
      <c r="A19" s="199"/>
      <c r="B19" s="196" t="s">
        <v>205</v>
      </c>
      <c r="C19" s="743" t="s">
        <v>301</v>
      </c>
      <c r="D19" s="743"/>
      <c r="E19" s="743"/>
      <c r="F19" s="743"/>
      <c r="G19" s="743"/>
      <c r="H19" s="743"/>
      <c r="I19" s="743"/>
      <c r="J19" s="743"/>
      <c r="K19" s="743"/>
      <c r="L19" s="200"/>
      <c r="Y19" s="668"/>
      <c r="Z19" s="668"/>
      <c r="AA19" s="668"/>
    </row>
    <row r="20" spans="1:27" s="189" customFormat="1" ht="33" customHeight="1">
      <c r="A20" s="185"/>
      <c r="B20" s="186"/>
      <c r="C20" s="742" t="s">
        <v>302</v>
      </c>
      <c r="D20" s="742"/>
      <c r="E20" s="742"/>
      <c r="F20" s="742"/>
      <c r="G20" s="742"/>
      <c r="H20" s="742"/>
      <c r="I20" s="742"/>
      <c r="J20" s="742"/>
      <c r="K20" s="742"/>
      <c r="L20" s="188"/>
      <c r="Y20" s="466"/>
      <c r="Z20" s="466"/>
      <c r="AA20" s="466"/>
    </row>
    <row r="21" spans="1:27" s="189" customFormat="1" ht="34.5" customHeight="1">
      <c r="A21" s="185"/>
      <c r="B21" s="186"/>
      <c r="C21" s="742" t="s">
        <v>303</v>
      </c>
      <c r="D21" s="742"/>
      <c r="E21" s="742"/>
      <c r="F21" s="742"/>
      <c r="G21" s="742"/>
      <c r="H21" s="742"/>
      <c r="I21" s="742"/>
      <c r="J21" s="742"/>
      <c r="K21" s="742"/>
      <c r="L21" s="188"/>
      <c r="Y21" s="466"/>
      <c r="Z21" s="466"/>
      <c r="AA21" s="466"/>
    </row>
    <row r="22" spans="1:34" s="198" customFormat="1" ht="77.25" customHeight="1">
      <c r="A22" s="199"/>
      <c r="B22" s="196" t="s">
        <v>217</v>
      </c>
      <c r="C22" s="743" t="s">
        <v>1069</v>
      </c>
      <c r="D22" s="743"/>
      <c r="E22" s="743"/>
      <c r="F22" s="743"/>
      <c r="G22" s="743"/>
      <c r="H22" s="743"/>
      <c r="I22" s="743"/>
      <c r="J22" s="743"/>
      <c r="K22" s="743"/>
      <c r="L22" s="200"/>
      <c r="Y22" s="669"/>
      <c r="Z22" s="669"/>
      <c r="AA22" s="669"/>
      <c r="AB22" s="659"/>
      <c r="AC22" s="659"/>
      <c r="AD22" s="659"/>
      <c r="AE22" s="659"/>
      <c r="AF22" s="659"/>
      <c r="AG22" s="659"/>
      <c r="AH22" s="659"/>
    </row>
    <row r="23" spans="1:27" s="189" customFormat="1" ht="24" customHeight="1">
      <c r="A23" s="201" t="s">
        <v>205</v>
      </c>
      <c r="B23" s="186" t="s">
        <v>304</v>
      </c>
      <c r="C23" s="186"/>
      <c r="D23" s="186"/>
      <c r="E23" s="191" t="s">
        <v>305</v>
      </c>
      <c r="F23" s="186"/>
      <c r="G23" s="186"/>
      <c r="H23" s="186"/>
      <c r="I23" s="187"/>
      <c r="J23" s="187"/>
      <c r="K23" s="187"/>
      <c r="L23" s="188"/>
      <c r="Y23" s="466"/>
      <c r="Z23" s="466"/>
      <c r="AA23" s="466"/>
    </row>
    <row r="24" spans="1:27" s="189" customFormat="1" ht="45" customHeight="1" hidden="1">
      <c r="A24" s="202"/>
      <c r="B24" s="744"/>
      <c r="C24" s="744"/>
      <c r="D24" s="744"/>
      <c r="E24" s="744"/>
      <c r="F24" s="744"/>
      <c r="G24" s="744"/>
      <c r="H24" s="744"/>
      <c r="I24" s="744"/>
      <c r="J24" s="744"/>
      <c r="K24" s="744"/>
      <c r="L24" s="188"/>
      <c r="Y24" s="466"/>
      <c r="Z24" s="466"/>
      <c r="AA24" s="466"/>
    </row>
    <row r="25" spans="1:27" s="189" customFormat="1" ht="25.5" customHeight="1">
      <c r="A25" s="201" t="s">
        <v>217</v>
      </c>
      <c r="B25" s="186" t="s">
        <v>306</v>
      </c>
      <c r="C25" s="186"/>
      <c r="D25" s="186"/>
      <c r="E25" s="191" t="s">
        <v>307</v>
      </c>
      <c r="F25" s="186"/>
      <c r="G25" s="186"/>
      <c r="H25" s="186"/>
      <c r="I25" s="187"/>
      <c r="J25" s="187"/>
      <c r="K25" s="187"/>
      <c r="L25" s="188"/>
      <c r="Y25" s="466"/>
      <c r="Z25" s="466"/>
      <c r="AA25" s="466"/>
    </row>
    <row r="26" spans="1:27" s="189" customFormat="1" ht="25.5" customHeight="1">
      <c r="A26" s="201"/>
      <c r="B26" s="186"/>
      <c r="C26" s="186"/>
      <c r="D26" s="186"/>
      <c r="E26" s="191"/>
      <c r="F26" s="186"/>
      <c r="G26" s="186"/>
      <c r="H26" s="186"/>
      <c r="I26" s="187"/>
      <c r="J26" s="187"/>
      <c r="K26" s="187"/>
      <c r="L26" s="188"/>
      <c r="Y26" s="466"/>
      <c r="Z26" s="466"/>
      <c r="AA26" s="466"/>
    </row>
    <row r="27" spans="1:27" s="189" customFormat="1" ht="25.5" customHeight="1">
      <c r="A27" s="201"/>
      <c r="B27" s="186"/>
      <c r="C27" s="186"/>
      <c r="D27" s="186"/>
      <c r="E27" s="191"/>
      <c r="F27" s="186"/>
      <c r="G27" s="186"/>
      <c r="H27" s="186"/>
      <c r="I27" s="187"/>
      <c r="J27" s="187"/>
      <c r="K27" s="187"/>
      <c r="L27" s="188"/>
      <c r="Y27" s="466"/>
      <c r="Z27" s="466"/>
      <c r="AA27" s="466"/>
    </row>
    <row r="28" spans="1:27" s="189" customFormat="1" ht="30" customHeight="1">
      <c r="A28" s="201" t="s">
        <v>252</v>
      </c>
      <c r="B28" s="186" t="s">
        <v>308</v>
      </c>
      <c r="C28" s="186"/>
      <c r="D28" s="186"/>
      <c r="E28" s="186"/>
      <c r="F28" s="186"/>
      <c r="G28" s="186"/>
      <c r="H28" s="186"/>
      <c r="I28" s="187"/>
      <c r="J28" s="187"/>
      <c r="K28" s="187"/>
      <c r="Y28" s="466"/>
      <c r="Z28" s="466"/>
      <c r="AA28" s="466"/>
    </row>
    <row r="29" spans="1:27" s="194" customFormat="1" ht="49.5" customHeight="1">
      <c r="A29" s="202"/>
      <c r="B29" s="745" t="str">
        <f>'[1]BCGD'!B14</f>
        <v>Sản xuất máy phát điện, thiết bị phân phối và điều khiển điện. Sản xuất lò nung hóa khí phế liệu sinh khối rắn. Sửa chữa máy móc thiết bị. Lắp đặt máy móc, thiết bị công nghiệp. Sản xuất điện (không hoạt động trụ sở).</v>
      </c>
      <c r="C29" s="746"/>
      <c r="D29" s="746"/>
      <c r="E29" s="746"/>
      <c r="F29" s="746"/>
      <c r="G29" s="746"/>
      <c r="H29" s="746"/>
      <c r="I29" s="746"/>
      <c r="J29" s="746"/>
      <c r="K29" s="746"/>
      <c r="L29" s="205"/>
      <c r="Y29" s="667"/>
      <c r="Z29" s="667"/>
      <c r="AA29" s="667"/>
    </row>
    <row r="30" spans="1:27" s="194" customFormat="1" ht="29.25" customHeight="1">
      <c r="A30" s="202"/>
      <c r="B30" s="203"/>
      <c r="C30" s="204"/>
      <c r="D30" s="204"/>
      <c r="E30" s="204"/>
      <c r="F30" s="204"/>
      <c r="G30" s="204"/>
      <c r="H30" s="204"/>
      <c r="I30" s="204"/>
      <c r="J30" s="204"/>
      <c r="K30" s="204"/>
      <c r="L30" s="205"/>
      <c r="Y30" s="667"/>
      <c r="Z30" s="667"/>
      <c r="AA30" s="667"/>
    </row>
    <row r="31" spans="1:27" s="189" customFormat="1" ht="24.75" customHeight="1">
      <c r="A31" s="201" t="s">
        <v>255</v>
      </c>
      <c r="B31" s="186" t="s">
        <v>309</v>
      </c>
      <c r="C31" s="186"/>
      <c r="D31" s="186"/>
      <c r="E31" s="186"/>
      <c r="F31" s="186"/>
      <c r="G31" s="186"/>
      <c r="H31" s="186"/>
      <c r="I31" s="187"/>
      <c r="J31" s="187"/>
      <c r="K31" s="187"/>
      <c r="L31" s="188"/>
      <c r="Y31" s="466"/>
      <c r="Z31" s="466"/>
      <c r="AA31" s="466"/>
    </row>
    <row r="32" spans="1:27" s="189" customFormat="1" ht="34.5" customHeight="1">
      <c r="A32" s="202"/>
      <c r="B32" s="742" t="s">
        <v>310</v>
      </c>
      <c r="C32" s="742"/>
      <c r="D32" s="742"/>
      <c r="E32" s="742"/>
      <c r="F32" s="742"/>
      <c r="G32" s="742"/>
      <c r="H32" s="742"/>
      <c r="I32" s="742"/>
      <c r="J32" s="742"/>
      <c r="K32" s="742"/>
      <c r="L32" s="188"/>
      <c r="Y32" s="466"/>
      <c r="Z32" s="466"/>
      <c r="AA32" s="466"/>
    </row>
    <row r="33" spans="1:27" s="189" customFormat="1" ht="24.75" customHeight="1">
      <c r="A33" s="201" t="s">
        <v>258</v>
      </c>
      <c r="B33" s="186" t="s">
        <v>311</v>
      </c>
      <c r="C33" s="186"/>
      <c r="D33" s="186"/>
      <c r="E33" s="186"/>
      <c r="F33" s="186"/>
      <c r="G33" s="206">
        <v>252</v>
      </c>
      <c r="H33" s="186"/>
      <c r="I33" s="207" t="s">
        <v>312</v>
      </c>
      <c r="J33" s="187"/>
      <c r="K33" s="187"/>
      <c r="L33" s="188"/>
      <c r="Y33" s="466"/>
      <c r="Z33" s="466"/>
      <c r="AA33" s="466"/>
    </row>
    <row r="34" spans="1:27" s="189" customFormat="1" ht="30" customHeight="1">
      <c r="A34" s="185" t="s">
        <v>313</v>
      </c>
      <c r="B34" s="186" t="s">
        <v>314</v>
      </c>
      <c r="C34" s="186"/>
      <c r="D34" s="186"/>
      <c r="E34" s="186"/>
      <c r="F34" s="186"/>
      <c r="G34" s="186"/>
      <c r="H34" s="186"/>
      <c r="I34" s="187"/>
      <c r="J34" s="187"/>
      <c r="K34" s="187"/>
      <c r="L34" s="188"/>
      <c r="Y34" s="466"/>
      <c r="Z34" s="466"/>
      <c r="AA34" s="466"/>
    </row>
    <row r="35" spans="1:27" s="189" customFormat="1" ht="24.75" customHeight="1">
      <c r="A35" s="185" t="s">
        <v>202</v>
      </c>
      <c r="B35" s="186" t="s">
        <v>315</v>
      </c>
      <c r="C35" s="186"/>
      <c r="D35" s="186"/>
      <c r="E35" s="186"/>
      <c r="F35" s="186"/>
      <c r="G35" s="186"/>
      <c r="H35" s="186"/>
      <c r="I35" s="187"/>
      <c r="J35" s="187"/>
      <c r="K35" s="187"/>
      <c r="L35" s="188"/>
      <c r="Y35" s="466"/>
      <c r="Z35" s="466"/>
      <c r="AA35" s="466"/>
    </row>
    <row r="36" spans="1:27" s="189" customFormat="1" ht="19.5" customHeight="1">
      <c r="A36" s="202"/>
      <c r="B36" s="191" t="s">
        <v>148</v>
      </c>
      <c r="C36" s="191"/>
      <c r="D36" s="191"/>
      <c r="E36" s="191"/>
      <c r="F36" s="191"/>
      <c r="G36" s="191"/>
      <c r="H36" s="191"/>
      <c r="I36" s="192"/>
      <c r="J36" s="192"/>
      <c r="K36" s="192"/>
      <c r="L36" s="188"/>
      <c r="Y36" s="466"/>
      <c r="Z36" s="466"/>
      <c r="AA36" s="466"/>
    </row>
    <row r="37" spans="1:27" s="189" customFormat="1" ht="24.75" customHeight="1">
      <c r="A37" s="185" t="s">
        <v>205</v>
      </c>
      <c r="B37" s="186" t="s">
        <v>316</v>
      </c>
      <c r="C37" s="186"/>
      <c r="D37" s="186"/>
      <c r="E37" s="186"/>
      <c r="F37" s="186"/>
      <c r="G37" s="186"/>
      <c r="H37" s="186"/>
      <c r="I37" s="187"/>
      <c r="J37" s="187"/>
      <c r="K37" s="187"/>
      <c r="L37" s="188"/>
      <c r="Y37" s="466"/>
      <c r="Z37" s="466"/>
      <c r="AA37" s="466"/>
    </row>
    <row r="38" spans="1:27" s="189" customFormat="1" ht="19.5" customHeight="1">
      <c r="A38" s="202"/>
      <c r="B38" s="191" t="s">
        <v>317</v>
      </c>
      <c r="C38" s="191"/>
      <c r="D38" s="191"/>
      <c r="E38" s="191"/>
      <c r="F38" s="191"/>
      <c r="G38" s="191"/>
      <c r="H38" s="191"/>
      <c r="I38" s="192"/>
      <c r="J38" s="192"/>
      <c r="K38" s="192"/>
      <c r="L38" s="188"/>
      <c r="Y38" s="466"/>
      <c r="Z38" s="466"/>
      <c r="AA38" s="466"/>
    </row>
    <row r="39" spans="1:27" s="189" customFormat="1" ht="30" customHeight="1">
      <c r="A39" s="185" t="s">
        <v>318</v>
      </c>
      <c r="B39" s="186" t="s">
        <v>319</v>
      </c>
      <c r="C39" s="186"/>
      <c r="D39" s="186"/>
      <c r="E39" s="186"/>
      <c r="F39" s="186"/>
      <c r="G39" s="186"/>
      <c r="H39" s="186"/>
      <c r="I39" s="187"/>
      <c r="J39" s="187"/>
      <c r="K39" s="187"/>
      <c r="L39" s="188"/>
      <c r="Y39" s="466"/>
      <c r="Z39" s="466"/>
      <c r="AA39" s="466"/>
    </row>
    <row r="40" spans="1:27" s="189" customFormat="1" ht="24.75" customHeight="1">
      <c r="A40" s="185" t="s">
        <v>202</v>
      </c>
      <c r="B40" s="186" t="s">
        <v>320</v>
      </c>
      <c r="C40" s="186"/>
      <c r="D40" s="186"/>
      <c r="E40" s="186"/>
      <c r="F40" s="186"/>
      <c r="G40" s="186"/>
      <c r="H40" s="186"/>
      <c r="I40" s="187"/>
      <c r="J40" s="187"/>
      <c r="K40" s="187"/>
      <c r="L40" s="188"/>
      <c r="Y40" s="466"/>
      <c r="Z40" s="466"/>
      <c r="AA40" s="466"/>
    </row>
    <row r="41" spans="1:27" s="189" customFormat="1" ht="34.5" customHeight="1">
      <c r="A41" s="202"/>
      <c r="B41" s="747" t="s">
        <v>321</v>
      </c>
      <c r="C41" s="747"/>
      <c r="D41" s="747"/>
      <c r="E41" s="747"/>
      <c r="F41" s="747"/>
      <c r="G41" s="747"/>
      <c r="H41" s="747"/>
      <c r="I41" s="747"/>
      <c r="J41" s="747"/>
      <c r="K41" s="747"/>
      <c r="L41" s="188"/>
      <c r="Y41" s="466"/>
      <c r="Z41" s="466"/>
      <c r="AA41" s="466"/>
    </row>
    <row r="42" spans="1:27" s="189" customFormat="1" ht="24.75" customHeight="1">
      <c r="A42" s="185" t="s">
        <v>205</v>
      </c>
      <c r="B42" s="186" t="s">
        <v>322</v>
      </c>
      <c r="C42" s="186"/>
      <c r="D42" s="186"/>
      <c r="E42" s="186"/>
      <c r="F42" s="186"/>
      <c r="G42" s="186"/>
      <c r="H42" s="186"/>
      <c r="I42" s="187"/>
      <c r="J42" s="187"/>
      <c r="K42" s="187"/>
      <c r="L42" s="188"/>
      <c r="Y42" s="466"/>
      <c r="Z42" s="466"/>
      <c r="AA42" s="466"/>
    </row>
    <row r="43" spans="1:27" s="189" customFormat="1" ht="49.5" customHeight="1">
      <c r="A43" s="202"/>
      <c r="B43" s="747" t="s">
        <v>323</v>
      </c>
      <c r="C43" s="747"/>
      <c r="D43" s="747"/>
      <c r="E43" s="747"/>
      <c r="F43" s="747"/>
      <c r="G43" s="747"/>
      <c r="H43" s="747"/>
      <c r="I43" s="747"/>
      <c r="J43" s="747"/>
      <c r="K43" s="747"/>
      <c r="L43" s="209" t="s">
        <v>324</v>
      </c>
      <c r="Y43" s="466"/>
      <c r="Z43" s="466"/>
      <c r="AA43" s="466"/>
    </row>
    <row r="44" spans="1:27" s="189" customFormat="1" ht="49.5" customHeight="1">
      <c r="A44" s="202"/>
      <c r="B44" s="747" t="s">
        <v>325</v>
      </c>
      <c r="C44" s="747"/>
      <c r="D44" s="747"/>
      <c r="E44" s="747"/>
      <c r="F44" s="747"/>
      <c r="G44" s="747"/>
      <c r="H44" s="747"/>
      <c r="I44" s="747"/>
      <c r="J44" s="747"/>
      <c r="K44" s="747"/>
      <c r="L44" s="209" t="s">
        <v>326</v>
      </c>
      <c r="Y44" s="466"/>
      <c r="Z44" s="466"/>
      <c r="AA44" s="466"/>
    </row>
    <row r="45" spans="1:27" s="189" customFormat="1" ht="24.75" customHeight="1">
      <c r="A45" s="185" t="s">
        <v>217</v>
      </c>
      <c r="B45" s="186" t="s">
        <v>327</v>
      </c>
      <c r="C45" s="186"/>
      <c r="D45" s="186"/>
      <c r="E45" s="186"/>
      <c r="F45" s="186"/>
      <c r="G45" s="186"/>
      <c r="H45" s="186"/>
      <c r="I45" s="187"/>
      <c r="J45" s="187"/>
      <c r="K45" s="187"/>
      <c r="L45" s="188"/>
      <c r="Y45" s="466"/>
      <c r="Z45" s="466"/>
      <c r="AA45" s="466"/>
    </row>
    <row r="46" spans="1:27" s="189" customFormat="1" ht="19.5" customHeight="1">
      <c r="A46" s="202"/>
      <c r="B46" s="191" t="s">
        <v>328</v>
      </c>
      <c r="C46" s="191"/>
      <c r="D46" s="191"/>
      <c r="E46" s="191" t="s">
        <v>329</v>
      </c>
      <c r="F46" s="191"/>
      <c r="G46" s="191"/>
      <c r="H46" s="191"/>
      <c r="I46" s="192"/>
      <c r="J46" s="192"/>
      <c r="K46" s="192"/>
      <c r="L46" s="188"/>
      <c r="M46" s="210"/>
      <c r="N46" s="210"/>
      <c r="O46" s="210"/>
      <c r="P46" s="210"/>
      <c r="Y46" s="466"/>
      <c r="Z46" s="466"/>
      <c r="AA46" s="466"/>
    </row>
    <row r="47" spans="1:27" s="189" customFormat="1" ht="30" customHeight="1">
      <c r="A47" s="185" t="s">
        <v>330</v>
      </c>
      <c r="B47" s="186" t="s">
        <v>331</v>
      </c>
      <c r="C47" s="186"/>
      <c r="D47" s="186"/>
      <c r="E47" s="186"/>
      <c r="F47" s="186"/>
      <c r="G47" s="186"/>
      <c r="H47" s="186"/>
      <c r="I47" s="187"/>
      <c r="J47" s="187"/>
      <c r="K47" s="187"/>
      <c r="L47" s="188"/>
      <c r="M47" s="210"/>
      <c r="N47" s="210"/>
      <c r="O47" s="210"/>
      <c r="P47" s="210"/>
      <c r="Y47" s="466"/>
      <c r="Z47" s="466"/>
      <c r="AA47" s="466"/>
    </row>
    <row r="48" spans="1:27" s="189" customFormat="1" ht="24.75" customHeight="1">
      <c r="A48" s="185" t="s">
        <v>243</v>
      </c>
      <c r="B48" s="186" t="s">
        <v>332</v>
      </c>
      <c r="C48" s="186"/>
      <c r="D48" s="186"/>
      <c r="E48" s="186"/>
      <c r="F48" s="186"/>
      <c r="G48" s="186"/>
      <c r="H48" s="186"/>
      <c r="I48" s="187"/>
      <c r="J48" s="187"/>
      <c r="K48" s="187"/>
      <c r="L48" s="188"/>
      <c r="M48" s="210"/>
      <c r="N48" s="210"/>
      <c r="O48" s="210"/>
      <c r="P48" s="210"/>
      <c r="Y48" s="466"/>
      <c r="Z48" s="466"/>
      <c r="AA48" s="466"/>
    </row>
    <row r="49" spans="1:27" s="189" customFormat="1" ht="64.5" customHeight="1">
      <c r="A49" s="211"/>
      <c r="B49" s="748" t="s">
        <v>333</v>
      </c>
      <c r="C49" s="748"/>
      <c r="D49" s="748"/>
      <c r="E49" s="748"/>
      <c r="F49" s="748"/>
      <c r="G49" s="748"/>
      <c r="H49" s="748"/>
      <c r="I49" s="748"/>
      <c r="J49" s="748"/>
      <c r="K49" s="748"/>
      <c r="L49" s="188"/>
      <c r="M49" s="210"/>
      <c r="N49" s="210"/>
      <c r="O49" s="210"/>
      <c r="P49" s="210"/>
      <c r="Y49" s="466"/>
      <c r="Z49" s="466"/>
      <c r="AA49" s="466"/>
    </row>
    <row r="50" spans="1:27" s="189" customFormat="1" ht="64.5" customHeight="1">
      <c r="A50" s="211"/>
      <c r="B50" s="212"/>
      <c r="C50" s="212"/>
      <c r="D50" s="212"/>
      <c r="E50" s="212"/>
      <c r="F50" s="212"/>
      <c r="G50" s="212"/>
      <c r="H50" s="212"/>
      <c r="I50" s="212"/>
      <c r="J50" s="212"/>
      <c r="K50" s="212"/>
      <c r="L50" s="188"/>
      <c r="M50" s="210"/>
      <c r="N50" s="210"/>
      <c r="O50" s="210"/>
      <c r="P50" s="210"/>
      <c r="Y50" s="466"/>
      <c r="Z50" s="466"/>
      <c r="AA50" s="466"/>
    </row>
    <row r="51" spans="1:27" s="189" customFormat="1" ht="24.75" customHeight="1">
      <c r="A51" s="185" t="s">
        <v>248</v>
      </c>
      <c r="B51" s="186" t="s">
        <v>334</v>
      </c>
      <c r="C51" s="186"/>
      <c r="D51" s="186"/>
      <c r="E51" s="186"/>
      <c r="F51" s="186"/>
      <c r="G51" s="186"/>
      <c r="H51" s="186"/>
      <c r="I51" s="187"/>
      <c r="J51" s="187"/>
      <c r="K51" s="187"/>
      <c r="L51" s="188"/>
      <c r="M51" s="210"/>
      <c r="N51" s="210"/>
      <c r="O51" s="210"/>
      <c r="P51" s="210"/>
      <c r="Y51" s="466"/>
      <c r="Z51" s="466"/>
      <c r="AA51" s="466"/>
    </row>
    <row r="52" spans="1:27" s="189" customFormat="1" ht="24.75" customHeight="1">
      <c r="A52" s="211"/>
      <c r="B52" s="213" t="s">
        <v>38</v>
      </c>
      <c r="C52" s="213"/>
      <c r="D52" s="213"/>
      <c r="E52" s="213"/>
      <c r="F52" s="213"/>
      <c r="G52" s="213"/>
      <c r="H52" s="213"/>
      <c r="I52" s="187"/>
      <c r="J52" s="187"/>
      <c r="K52" s="187"/>
      <c r="L52" s="188"/>
      <c r="M52" s="210"/>
      <c r="N52" s="210"/>
      <c r="O52" s="210"/>
      <c r="P52" s="210"/>
      <c r="Y52" s="466"/>
      <c r="Z52" s="466"/>
      <c r="AA52" s="466"/>
    </row>
    <row r="53" spans="1:27" s="189" customFormat="1" ht="105" customHeight="1">
      <c r="A53" s="211"/>
      <c r="B53" s="748" t="s">
        <v>1070</v>
      </c>
      <c r="C53" s="748"/>
      <c r="D53" s="748"/>
      <c r="E53" s="748"/>
      <c r="F53" s="748"/>
      <c r="G53" s="748"/>
      <c r="H53" s="748"/>
      <c r="I53" s="748"/>
      <c r="J53" s="748"/>
      <c r="K53" s="748"/>
      <c r="L53" s="188"/>
      <c r="M53" s="210"/>
      <c r="N53" s="210"/>
      <c r="O53" s="210"/>
      <c r="P53" s="210"/>
      <c r="Y53" s="466"/>
      <c r="Z53" s="466"/>
      <c r="AA53" s="466"/>
    </row>
    <row r="54" spans="1:27" s="189" customFormat="1" ht="24.75" customHeight="1">
      <c r="A54" s="211"/>
      <c r="B54" s="213" t="s">
        <v>183</v>
      </c>
      <c r="C54" s="213"/>
      <c r="D54" s="213"/>
      <c r="E54" s="213"/>
      <c r="F54" s="213"/>
      <c r="G54" s="213"/>
      <c r="H54" s="213"/>
      <c r="I54" s="187"/>
      <c r="J54" s="187"/>
      <c r="K54" s="187"/>
      <c r="L54" s="188"/>
      <c r="M54" s="210"/>
      <c r="N54" s="210"/>
      <c r="O54" s="210"/>
      <c r="P54" s="210"/>
      <c r="Y54" s="466"/>
      <c r="Z54" s="466"/>
      <c r="AA54" s="466"/>
    </row>
    <row r="55" spans="1:27" s="189" customFormat="1" ht="33.75" customHeight="1">
      <c r="A55" s="211"/>
      <c r="B55" s="748" t="s">
        <v>335</v>
      </c>
      <c r="C55" s="748"/>
      <c r="D55" s="748"/>
      <c r="E55" s="748"/>
      <c r="F55" s="748"/>
      <c r="G55" s="748"/>
      <c r="H55" s="748"/>
      <c r="I55" s="748"/>
      <c r="J55" s="748"/>
      <c r="K55" s="748"/>
      <c r="L55" s="188"/>
      <c r="M55" s="210"/>
      <c r="N55" s="210"/>
      <c r="O55" s="210"/>
      <c r="P55" s="210"/>
      <c r="Y55" s="466"/>
      <c r="Z55" s="466"/>
      <c r="AA55" s="466"/>
    </row>
    <row r="56" spans="1:27" s="189" customFormat="1" ht="88.5" customHeight="1">
      <c r="A56" s="211"/>
      <c r="B56" s="748" t="s">
        <v>336</v>
      </c>
      <c r="C56" s="748"/>
      <c r="D56" s="748"/>
      <c r="E56" s="748"/>
      <c r="F56" s="748"/>
      <c r="G56" s="748"/>
      <c r="H56" s="748"/>
      <c r="I56" s="748"/>
      <c r="J56" s="748"/>
      <c r="K56" s="748"/>
      <c r="L56" s="188"/>
      <c r="M56" s="210"/>
      <c r="N56" s="214"/>
      <c r="O56" s="214"/>
      <c r="P56" s="214"/>
      <c r="Q56" s="214"/>
      <c r="R56" s="214"/>
      <c r="S56" s="214"/>
      <c r="T56" s="214"/>
      <c r="U56" s="214"/>
      <c r="V56" s="214"/>
      <c r="W56" s="214"/>
      <c r="X56" s="214"/>
      <c r="Y56" s="670"/>
      <c r="Z56" s="466"/>
      <c r="AA56" s="466"/>
    </row>
    <row r="57" spans="1:27" s="189" customFormat="1" ht="24.75" customHeight="1">
      <c r="A57" s="201" t="s">
        <v>217</v>
      </c>
      <c r="B57" s="186" t="s">
        <v>337</v>
      </c>
      <c r="C57" s="186"/>
      <c r="D57" s="186"/>
      <c r="E57" s="186"/>
      <c r="F57" s="186"/>
      <c r="G57" s="186"/>
      <c r="H57" s="186"/>
      <c r="I57" s="187"/>
      <c r="J57" s="187"/>
      <c r="K57" s="187"/>
      <c r="L57" s="188"/>
      <c r="M57" s="210"/>
      <c r="N57" s="215"/>
      <c r="O57" s="216"/>
      <c r="P57" s="216"/>
      <c r="Q57" s="216"/>
      <c r="R57" s="216"/>
      <c r="S57" s="216"/>
      <c r="T57" s="216"/>
      <c r="U57" s="216"/>
      <c r="V57" s="216"/>
      <c r="W57" s="216"/>
      <c r="X57" s="216"/>
      <c r="Y57" s="671"/>
      <c r="Z57" s="466"/>
      <c r="AA57" s="466"/>
    </row>
    <row r="58" spans="1:27" s="189" customFormat="1" ht="49.5" customHeight="1">
      <c r="A58" s="202"/>
      <c r="B58" s="749" t="s">
        <v>338</v>
      </c>
      <c r="C58" s="747"/>
      <c r="D58" s="747"/>
      <c r="E58" s="747"/>
      <c r="F58" s="747"/>
      <c r="G58" s="747"/>
      <c r="H58" s="747"/>
      <c r="I58" s="747"/>
      <c r="J58" s="747"/>
      <c r="K58" s="747"/>
      <c r="L58" s="209" t="s">
        <v>339</v>
      </c>
      <c r="M58" s="210"/>
      <c r="N58" s="215"/>
      <c r="O58" s="216"/>
      <c r="P58" s="216"/>
      <c r="Q58" s="216"/>
      <c r="R58" s="216"/>
      <c r="S58" s="216"/>
      <c r="T58" s="216"/>
      <c r="U58" s="216"/>
      <c r="V58" s="216"/>
      <c r="W58" s="216"/>
      <c r="X58" s="216"/>
      <c r="Y58" s="671"/>
      <c r="Z58" s="466"/>
      <c r="AA58" s="466"/>
    </row>
    <row r="59" spans="1:27" s="189" customFormat="1" ht="24.75" customHeight="1">
      <c r="A59" s="202"/>
      <c r="B59" s="186" t="s">
        <v>340</v>
      </c>
      <c r="C59" s="191"/>
      <c r="D59" s="191"/>
      <c r="E59" s="191"/>
      <c r="F59" s="191"/>
      <c r="G59" s="191"/>
      <c r="H59" s="191"/>
      <c r="I59" s="192"/>
      <c r="J59" s="192"/>
      <c r="K59" s="192"/>
      <c r="L59" s="188"/>
      <c r="M59" s="210"/>
      <c r="N59" s="215"/>
      <c r="O59" s="216"/>
      <c r="P59" s="216"/>
      <c r="Q59" s="216"/>
      <c r="R59" s="216"/>
      <c r="S59" s="216"/>
      <c r="T59" s="216"/>
      <c r="U59" s="216"/>
      <c r="V59" s="216"/>
      <c r="W59" s="216"/>
      <c r="X59" s="216"/>
      <c r="Y59" s="671"/>
      <c r="Z59" s="466"/>
      <c r="AA59" s="466"/>
    </row>
    <row r="60" spans="1:27" s="189" customFormat="1" ht="49.5" customHeight="1">
      <c r="A60" s="218"/>
      <c r="B60" s="747" t="s">
        <v>341</v>
      </c>
      <c r="C60" s="747"/>
      <c r="D60" s="747"/>
      <c r="E60" s="747"/>
      <c r="F60" s="747"/>
      <c r="G60" s="747"/>
      <c r="H60" s="747"/>
      <c r="I60" s="747"/>
      <c r="J60" s="747"/>
      <c r="K60" s="747"/>
      <c r="L60" s="209" t="s">
        <v>342</v>
      </c>
      <c r="N60" s="219"/>
      <c r="O60" s="219"/>
      <c r="P60" s="219"/>
      <c r="Q60" s="219"/>
      <c r="R60" s="219"/>
      <c r="S60" s="219"/>
      <c r="T60" s="219"/>
      <c r="U60" s="219"/>
      <c r="V60" s="219"/>
      <c r="W60" s="219"/>
      <c r="Y60" s="466"/>
      <c r="Z60" s="466"/>
      <c r="AA60" s="466"/>
    </row>
    <row r="61" spans="1:27" s="189" customFormat="1" ht="34.5" customHeight="1">
      <c r="A61" s="202"/>
      <c r="B61" s="750" t="s">
        <v>343</v>
      </c>
      <c r="C61" s="750"/>
      <c r="D61" s="750"/>
      <c r="E61" s="750"/>
      <c r="F61" s="750"/>
      <c r="G61" s="750"/>
      <c r="H61" s="750"/>
      <c r="I61" s="750"/>
      <c r="J61" s="750"/>
      <c r="K61" s="750"/>
      <c r="L61" s="186"/>
      <c r="M61" s="210"/>
      <c r="N61" s="215"/>
      <c r="O61" s="216"/>
      <c r="P61" s="216"/>
      <c r="Q61" s="216"/>
      <c r="R61" s="216"/>
      <c r="S61" s="216"/>
      <c r="T61" s="216"/>
      <c r="U61" s="216"/>
      <c r="V61" s="216"/>
      <c r="W61" s="216"/>
      <c r="X61" s="216"/>
      <c r="Y61" s="671"/>
      <c r="Z61" s="466"/>
      <c r="AA61" s="466"/>
    </row>
    <row r="62" spans="1:27" s="189" customFormat="1" ht="34.5" customHeight="1">
      <c r="A62" s="218"/>
      <c r="B62" s="751" t="s">
        <v>344</v>
      </c>
      <c r="C62" s="751"/>
      <c r="D62" s="751"/>
      <c r="E62" s="751"/>
      <c r="F62" s="751"/>
      <c r="G62" s="751"/>
      <c r="H62" s="751"/>
      <c r="I62" s="751"/>
      <c r="J62" s="751"/>
      <c r="K62" s="751"/>
      <c r="L62" s="209"/>
      <c r="N62" s="219"/>
      <c r="O62" s="219"/>
      <c r="P62" s="219"/>
      <c r="Q62" s="219"/>
      <c r="R62" s="219"/>
      <c r="S62" s="219"/>
      <c r="T62" s="219"/>
      <c r="U62" s="219"/>
      <c r="V62" s="219"/>
      <c r="W62" s="219"/>
      <c r="Y62" s="466"/>
      <c r="Z62" s="466"/>
      <c r="AA62" s="466"/>
    </row>
    <row r="63" spans="1:27" s="189" customFormat="1" ht="63" customHeight="1">
      <c r="A63" s="218"/>
      <c r="B63" s="751" t="s">
        <v>345</v>
      </c>
      <c r="C63" s="751"/>
      <c r="D63" s="751"/>
      <c r="E63" s="751"/>
      <c r="F63" s="751"/>
      <c r="G63" s="751"/>
      <c r="H63" s="751"/>
      <c r="I63" s="751"/>
      <c r="J63" s="751"/>
      <c r="K63" s="751"/>
      <c r="L63" s="209"/>
      <c r="N63" s="219"/>
      <c r="O63" s="219"/>
      <c r="P63" s="219"/>
      <c r="Q63" s="219"/>
      <c r="R63" s="219"/>
      <c r="S63" s="219"/>
      <c r="T63" s="219"/>
      <c r="U63" s="219"/>
      <c r="V63" s="219"/>
      <c r="W63" s="219"/>
      <c r="Y63" s="466"/>
      <c r="Z63" s="466"/>
      <c r="AA63" s="466"/>
    </row>
    <row r="64" spans="1:27" s="189" customFormat="1" ht="63.75" customHeight="1">
      <c r="A64" s="218"/>
      <c r="B64" s="751" t="s">
        <v>346</v>
      </c>
      <c r="C64" s="751"/>
      <c r="D64" s="751"/>
      <c r="E64" s="751"/>
      <c r="F64" s="751"/>
      <c r="G64" s="751"/>
      <c r="H64" s="751"/>
      <c r="I64" s="751"/>
      <c r="J64" s="751"/>
      <c r="K64" s="751"/>
      <c r="L64" s="209"/>
      <c r="N64" s="219"/>
      <c r="O64" s="219"/>
      <c r="P64" s="219"/>
      <c r="Q64" s="219"/>
      <c r="R64" s="219"/>
      <c r="S64" s="219"/>
      <c r="T64" s="219"/>
      <c r="U64" s="219"/>
      <c r="V64" s="219"/>
      <c r="W64" s="219"/>
      <c r="Y64" s="466"/>
      <c r="Z64" s="466"/>
      <c r="AA64" s="466"/>
    </row>
    <row r="65" spans="1:27" s="189" customFormat="1" ht="24.75" customHeight="1">
      <c r="A65" s="201" t="s">
        <v>252</v>
      </c>
      <c r="B65" s="186" t="s">
        <v>347</v>
      </c>
      <c r="C65" s="186"/>
      <c r="D65" s="186"/>
      <c r="E65" s="186"/>
      <c r="F65" s="186"/>
      <c r="G65" s="186"/>
      <c r="H65" s="186"/>
      <c r="I65" s="187"/>
      <c r="J65" s="187"/>
      <c r="K65" s="187"/>
      <c r="L65" s="188"/>
      <c r="M65" s="210"/>
      <c r="N65" s="210"/>
      <c r="O65" s="210"/>
      <c r="P65" s="210"/>
      <c r="Y65" s="466"/>
      <c r="Z65" s="466"/>
      <c r="AA65" s="466"/>
    </row>
    <row r="66" spans="1:27" s="189" customFormat="1" ht="19.5" customHeight="1">
      <c r="A66" s="202"/>
      <c r="B66" s="220" t="s">
        <v>348</v>
      </c>
      <c r="C66" s="208"/>
      <c r="D66" s="208"/>
      <c r="E66" s="208"/>
      <c r="F66" s="208"/>
      <c r="G66" s="208"/>
      <c r="H66" s="208"/>
      <c r="I66" s="208"/>
      <c r="J66" s="208"/>
      <c r="K66" s="208"/>
      <c r="L66" s="209"/>
      <c r="Y66" s="466"/>
      <c r="Z66" s="466"/>
      <c r="AA66" s="466"/>
    </row>
    <row r="67" spans="1:27" s="189" customFormat="1" ht="49.5" customHeight="1">
      <c r="A67" s="202"/>
      <c r="B67" s="749" t="s">
        <v>349</v>
      </c>
      <c r="C67" s="747"/>
      <c r="D67" s="747"/>
      <c r="E67" s="747"/>
      <c r="F67" s="747"/>
      <c r="G67" s="747"/>
      <c r="H67" s="747"/>
      <c r="I67" s="747"/>
      <c r="J67" s="747"/>
      <c r="K67" s="747"/>
      <c r="L67" s="188" t="s">
        <v>350</v>
      </c>
      <c r="M67" s="210"/>
      <c r="N67" s="210"/>
      <c r="O67" s="210"/>
      <c r="P67" s="210"/>
      <c r="Q67" s="189" t="s">
        <v>351</v>
      </c>
      <c r="Y67" s="466"/>
      <c r="Z67" s="466"/>
      <c r="AA67" s="466"/>
    </row>
    <row r="68" spans="1:27" s="189" customFormat="1" ht="16.5" customHeight="1">
      <c r="A68" s="201" t="s">
        <v>255</v>
      </c>
      <c r="B68" s="186"/>
      <c r="C68" s="186"/>
      <c r="D68" s="186"/>
      <c r="E68" s="186"/>
      <c r="F68" s="186"/>
      <c r="G68" s="186"/>
      <c r="H68" s="186"/>
      <c r="I68" s="187"/>
      <c r="J68" s="187"/>
      <c r="K68" s="187"/>
      <c r="L68" s="188"/>
      <c r="M68" s="210"/>
      <c r="N68" s="210"/>
      <c r="O68" s="210"/>
      <c r="P68" s="210"/>
      <c r="Y68" s="466"/>
      <c r="Z68" s="466"/>
      <c r="AA68" s="466"/>
    </row>
    <row r="69" spans="1:27" s="189" customFormat="1" ht="57.75" customHeight="1">
      <c r="A69" s="202"/>
      <c r="B69" s="749" t="s">
        <v>352</v>
      </c>
      <c r="C69" s="747"/>
      <c r="D69" s="747"/>
      <c r="E69" s="747"/>
      <c r="F69" s="747"/>
      <c r="G69" s="747"/>
      <c r="H69" s="747"/>
      <c r="I69" s="747"/>
      <c r="J69" s="747"/>
      <c r="K69" s="747"/>
      <c r="L69" s="209" t="s">
        <v>353</v>
      </c>
      <c r="Y69" s="466"/>
      <c r="Z69" s="466"/>
      <c r="AA69" s="466"/>
    </row>
    <row r="70" spans="1:27" s="189" customFormat="1" ht="19.5" customHeight="1">
      <c r="A70" s="202"/>
      <c r="B70" s="186" t="s">
        <v>354</v>
      </c>
      <c r="C70" s="191"/>
      <c r="D70" s="191"/>
      <c r="E70" s="191"/>
      <c r="F70" s="191"/>
      <c r="G70" s="191"/>
      <c r="H70" s="191"/>
      <c r="I70" s="192"/>
      <c r="J70" s="192"/>
      <c r="K70" s="192"/>
      <c r="L70" s="188"/>
      <c r="Y70" s="466"/>
      <c r="Z70" s="466"/>
      <c r="AA70" s="466"/>
    </row>
    <row r="71" spans="1:27" s="189" customFormat="1" ht="19.5" customHeight="1">
      <c r="A71" s="202"/>
      <c r="B71" s="186" t="s">
        <v>355</v>
      </c>
      <c r="C71" s="191"/>
      <c r="D71" s="191"/>
      <c r="E71" s="191"/>
      <c r="F71" s="191"/>
      <c r="G71" s="191"/>
      <c r="H71" s="191"/>
      <c r="I71" s="192"/>
      <c r="J71" s="192"/>
      <c r="K71" s="192"/>
      <c r="L71" s="188"/>
      <c r="Y71" s="466"/>
      <c r="Z71" s="466"/>
      <c r="AA71" s="466"/>
    </row>
    <row r="72" spans="1:27" s="189" customFormat="1" ht="75.75" customHeight="1">
      <c r="A72" s="202"/>
      <c r="B72" s="752" t="s">
        <v>356</v>
      </c>
      <c r="C72" s="747"/>
      <c r="D72" s="747"/>
      <c r="E72" s="747"/>
      <c r="F72" s="747"/>
      <c r="G72" s="747"/>
      <c r="H72" s="747"/>
      <c r="I72" s="747"/>
      <c r="J72" s="747"/>
      <c r="K72" s="747"/>
      <c r="L72" s="209" t="s">
        <v>357</v>
      </c>
      <c r="Y72" s="466"/>
      <c r="Z72" s="466"/>
      <c r="AA72" s="466"/>
    </row>
    <row r="73" spans="1:27" s="189" customFormat="1" ht="24.75" customHeight="1">
      <c r="A73" s="185" t="s">
        <v>258</v>
      </c>
      <c r="B73" s="186" t="s">
        <v>358</v>
      </c>
      <c r="C73" s="186"/>
      <c r="D73" s="186"/>
      <c r="E73" s="186"/>
      <c r="F73" s="186"/>
      <c r="G73" s="186"/>
      <c r="H73" s="186"/>
      <c r="I73" s="187"/>
      <c r="J73" s="187"/>
      <c r="K73" s="187"/>
      <c r="L73" s="188"/>
      <c r="M73" s="210"/>
      <c r="N73" s="210"/>
      <c r="O73" s="210"/>
      <c r="P73" s="210"/>
      <c r="Y73" s="466"/>
      <c r="Z73" s="466"/>
      <c r="AA73" s="466"/>
    </row>
    <row r="74" spans="1:27" s="189" customFormat="1" ht="24.75" customHeight="1">
      <c r="A74" s="221" t="s">
        <v>359</v>
      </c>
      <c r="B74" s="753" t="s">
        <v>360</v>
      </c>
      <c r="C74" s="754"/>
      <c r="D74" s="754"/>
      <c r="E74" s="754"/>
      <c r="F74" s="754"/>
      <c r="G74" s="754"/>
      <c r="H74" s="754"/>
      <c r="I74" s="754"/>
      <c r="J74" s="754"/>
      <c r="K74" s="754"/>
      <c r="L74" s="188"/>
      <c r="M74" s="210"/>
      <c r="N74" s="210"/>
      <c r="O74" s="210"/>
      <c r="P74" s="210"/>
      <c r="Y74" s="466"/>
      <c r="Z74" s="466"/>
      <c r="AA74" s="466"/>
    </row>
    <row r="75" spans="1:27" s="189" customFormat="1" ht="75.75" customHeight="1">
      <c r="A75" s="222"/>
      <c r="B75" s="754" t="s">
        <v>361</v>
      </c>
      <c r="C75" s="754"/>
      <c r="D75" s="754"/>
      <c r="E75" s="754"/>
      <c r="F75" s="754"/>
      <c r="G75" s="754"/>
      <c r="H75" s="754"/>
      <c r="I75" s="754"/>
      <c r="J75" s="754"/>
      <c r="K75" s="754"/>
      <c r="L75" s="209" t="s">
        <v>362</v>
      </c>
      <c r="Y75" s="466"/>
      <c r="Z75" s="466"/>
      <c r="AA75" s="466"/>
    </row>
    <row r="76" spans="1:27" s="189" customFormat="1" ht="34.5" customHeight="1">
      <c r="A76" s="222"/>
      <c r="B76" s="754" t="s">
        <v>363</v>
      </c>
      <c r="C76" s="754"/>
      <c r="D76" s="754"/>
      <c r="E76" s="754"/>
      <c r="F76" s="754"/>
      <c r="G76" s="754"/>
      <c r="H76" s="754"/>
      <c r="I76" s="754"/>
      <c r="J76" s="754"/>
      <c r="K76" s="754"/>
      <c r="L76" s="209"/>
      <c r="Y76" s="466"/>
      <c r="Z76" s="466"/>
      <c r="AA76" s="466"/>
    </row>
    <row r="77" spans="1:27" s="189" customFormat="1" ht="18" customHeight="1">
      <c r="A77" s="222"/>
      <c r="B77" s="747" t="s">
        <v>364</v>
      </c>
      <c r="C77" s="747"/>
      <c r="D77" s="747"/>
      <c r="E77" s="747"/>
      <c r="F77" s="747"/>
      <c r="G77" s="747"/>
      <c r="H77" s="747"/>
      <c r="I77" s="747"/>
      <c r="J77" s="747"/>
      <c r="K77" s="747"/>
      <c r="L77" s="188"/>
      <c r="Y77" s="466"/>
      <c r="Z77" s="466"/>
      <c r="AA77" s="466"/>
    </row>
    <row r="78" spans="1:27" s="189" customFormat="1" ht="18" customHeight="1">
      <c r="A78" s="222"/>
      <c r="B78" s="755" t="s">
        <v>365</v>
      </c>
      <c r="C78" s="755"/>
      <c r="D78" s="755"/>
      <c r="E78" s="755"/>
      <c r="F78" s="755"/>
      <c r="G78" s="755"/>
      <c r="H78" s="755"/>
      <c r="I78" s="755"/>
      <c r="J78" s="755"/>
      <c r="K78" s="755"/>
      <c r="L78" s="209"/>
      <c r="Y78" s="466"/>
      <c r="Z78" s="466"/>
      <c r="AA78" s="466"/>
    </row>
    <row r="79" spans="1:27" s="189" customFormat="1" ht="63" customHeight="1">
      <c r="A79" s="222"/>
      <c r="B79" s="747" t="s">
        <v>366</v>
      </c>
      <c r="C79" s="747"/>
      <c r="D79" s="747"/>
      <c r="E79" s="747"/>
      <c r="F79" s="747"/>
      <c r="G79" s="747"/>
      <c r="H79" s="747"/>
      <c r="I79" s="747"/>
      <c r="J79" s="747"/>
      <c r="K79" s="747"/>
      <c r="L79" s="209"/>
      <c r="Y79" s="466"/>
      <c r="Z79" s="466"/>
      <c r="AA79" s="466"/>
    </row>
    <row r="80" spans="1:27" s="189" customFormat="1" ht="34.5" customHeight="1">
      <c r="A80" s="222"/>
      <c r="B80" s="747" t="s">
        <v>367</v>
      </c>
      <c r="C80" s="747"/>
      <c r="D80" s="747"/>
      <c r="E80" s="747"/>
      <c r="F80" s="747"/>
      <c r="G80" s="747"/>
      <c r="H80" s="747"/>
      <c r="I80" s="747"/>
      <c r="J80" s="747"/>
      <c r="K80" s="747"/>
      <c r="L80" s="209"/>
      <c r="Y80" s="466"/>
      <c r="Z80" s="466"/>
      <c r="AA80" s="466"/>
    </row>
    <row r="81" spans="1:27" s="189" customFormat="1" ht="34.5" customHeight="1">
      <c r="A81" s="222"/>
      <c r="B81" s="747" t="s">
        <v>368</v>
      </c>
      <c r="C81" s="747"/>
      <c r="D81" s="747"/>
      <c r="E81" s="747"/>
      <c r="F81" s="747"/>
      <c r="G81" s="747"/>
      <c r="H81" s="747"/>
      <c r="I81" s="747"/>
      <c r="J81" s="747"/>
      <c r="K81" s="747"/>
      <c r="L81" s="209"/>
      <c r="Y81" s="466"/>
      <c r="Z81" s="466"/>
      <c r="AA81" s="466"/>
    </row>
    <row r="82" spans="1:27" s="189" customFormat="1" ht="24.75" customHeight="1" hidden="1">
      <c r="A82" s="222"/>
      <c r="B82" s="755" t="s">
        <v>369</v>
      </c>
      <c r="C82" s="755"/>
      <c r="D82" s="755"/>
      <c r="E82" s="755"/>
      <c r="F82" s="755"/>
      <c r="G82" s="755"/>
      <c r="H82" s="755"/>
      <c r="I82" s="755"/>
      <c r="J82" s="755"/>
      <c r="K82" s="755"/>
      <c r="L82" s="209"/>
      <c r="Y82" s="466"/>
      <c r="Z82" s="466"/>
      <c r="AA82" s="466"/>
    </row>
    <row r="83" spans="1:27" s="189" customFormat="1" ht="76.5" customHeight="1" hidden="1">
      <c r="A83" s="222"/>
      <c r="B83" s="747" t="s">
        <v>370</v>
      </c>
      <c r="C83" s="747"/>
      <c r="D83" s="747"/>
      <c r="E83" s="747"/>
      <c r="F83" s="747"/>
      <c r="G83" s="747"/>
      <c r="H83" s="747"/>
      <c r="I83" s="747"/>
      <c r="J83" s="747"/>
      <c r="K83" s="747"/>
      <c r="L83" s="209"/>
      <c r="Y83" s="466"/>
      <c r="Z83" s="466"/>
      <c r="AA83" s="466"/>
    </row>
    <row r="84" spans="1:27" s="189" customFormat="1" ht="24.75" customHeight="1" hidden="1">
      <c r="A84" s="222"/>
      <c r="B84" s="755" t="s">
        <v>371</v>
      </c>
      <c r="C84" s="755"/>
      <c r="D84" s="755"/>
      <c r="E84" s="755"/>
      <c r="F84" s="755"/>
      <c r="G84" s="755"/>
      <c r="H84" s="755"/>
      <c r="I84" s="755"/>
      <c r="J84" s="755"/>
      <c r="K84" s="755"/>
      <c r="L84" s="209"/>
      <c r="Y84" s="466"/>
      <c r="Z84" s="466"/>
      <c r="AA84" s="466"/>
    </row>
    <row r="85" spans="1:27" s="189" customFormat="1" ht="50.25" customHeight="1" hidden="1">
      <c r="A85" s="222"/>
      <c r="B85" s="747" t="s">
        <v>372</v>
      </c>
      <c r="C85" s="747"/>
      <c r="D85" s="747"/>
      <c r="E85" s="747"/>
      <c r="F85" s="747"/>
      <c r="G85" s="747"/>
      <c r="H85" s="747"/>
      <c r="I85" s="747"/>
      <c r="J85" s="747"/>
      <c r="K85" s="747"/>
      <c r="L85" s="209"/>
      <c r="Y85" s="466"/>
      <c r="Z85" s="466"/>
      <c r="AA85" s="466"/>
    </row>
    <row r="86" spans="1:27" s="189" customFormat="1" ht="44.25" customHeight="1" hidden="1">
      <c r="A86" s="222"/>
      <c r="B86" s="747" t="s">
        <v>373</v>
      </c>
      <c r="C86" s="747"/>
      <c r="D86" s="747"/>
      <c r="E86" s="747"/>
      <c r="F86" s="747"/>
      <c r="G86" s="747"/>
      <c r="H86" s="747"/>
      <c r="I86" s="747"/>
      <c r="J86" s="747"/>
      <c r="K86" s="747"/>
      <c r="L86" s="209"/>
      <c r="Y86" s="466"/>
      <c r="Z86" s="466"/>
      <c r="AA86" s="466"/>
    </row>
    <row r="87" spans="1:27" s="189" customFormat="1" ht="24.75" customHeight="1" hidden="1">
      <c r="A87" s="222"/>
      <c r="B87" s="755" t="s">
        <v>374</v>
      </c>
      <c r="C87" s="755"/>
      <c r="D87" s="755"/>
      <c r="E87" s="755"/>
      <c r="F87" s="755"/>
      <c r="G87" s="755"/>
      <c r="H87" s="755"/>
      <c r="I87" s="755"/>
      <c r="J87" s="755"/>
      <c r="K87" s="755"/>
      <c r="L87" s="209"/>
      <c r="Y87" s="466"/>
      <c r="Z87" s="466"/>
      <c r="AA87" s="466"/>
    </row>
    <row r="88" spans="1:27" s="189" customFormat="1" ht="50.25" customHeight="1" hidden="1">
      <c r="A88" s="222"/>
      <c r="B88" s="747" t="s">
        <v>375</v>
      </c>
      <c r="C88" s="747"/>
      <c r="D88" s="747"/>
      <c r="E88" s="747"/>
      <c r="F88" s="747"/>
      <c r="G88" s="747"/>
      <c r="H88" s="747"/>
      <c r="I88" s="747"/>
      <c r="J88" s="747"/>
      <c r="K88" s="747"/>
      <c r="L88" s="209"/>
      <c r="Y88" s="466"/>
      <c r="Z88" s="466"/>
      <c r="AA88" s="466"/>
    </row>
    <row r="89" spans="1:27" s="189" customFormat="1" ht="10.5" customHeight="1">
      <c r="A89" s="222"/>
      <c r="B89" s="208"/>
      <c r="C89" s="208"/>
      <c r="D89" s="208"/>
      <c r="E89" s="208"/>
      <c r="F89" s="208"/>
      <c r="G89" s="208"/>
      <c r="H89" s="208"/>
      <c r="I89" s="208"/>
      <c r="J89" s="208"/>
      <c r="K89" s="208"/>
      <c r="L89" s="209"/>
      <c r="Y89" s="466"/>
      <c r="Z89" s="466"/>
      <c r="AA89" s="466"/>
    </row>
    <row r="90" spans="1:27" s="194" customFormat="1" ht="24.75" customHeight="1">
      <c r="A90" s="201" t="s">
        <v>376</v>
      </c>
      <c r="B90" s="752" t="s">
        <v>377</v>
      </c>
      <c r="C90" s="756"/>
      <c r="D90" s="756"/>
      <c r="E90" s="756"/>
      <c r="F90" s="756"/>
      <c r="G90" s="756"/>
      <c r="H90" s="756"/>
      <c r="I90" s="756"/>
      <c r="J90" s="756"/>
      <c r="K90" s="756"/>
      <c r="L90" s="191"/>
      <c r="Y90" s="667"/>
      <c r="Z90" s="667"/>
      <c r="AA90" s="667"/>
    </row>
    <row r="91" spans="1:27" s="189" customFormat="1" ht="51" customHeight="1">
      <c r="A91" s="202"/>
      <c r="B91" s="752" t="s">
        <v>378</v>
      </c>
      <c r="C91" s="756"/>
      <c r="D91" s="756"/>
      <c r="E91" s="756"/>
      <c r="F91" s="756"/>
      <c r="G91" s="756"/>
      <c r="H91" s="756"/>
      <c r="I91" s="756"/>
      <c r="J91" s="756"/>
      <c r="K91" s="756"/>
      <c r="L91" s="209"/>
      <c r="Y91" s="466"/>
      <c r="Z91" s="466"/>
      <c r="AA91" s="466"/>
    </row>
    <row r="92" spans="1:27" s="189" customFormat="1" ht="18" customHeight="1">
      <c r="A92" s="202"/>
      <c r="B92" s="747" t="s">
        <v>364</v>
      </c>
      <c r="C92" s="747"/>
      <c r="D92" s="747"/>
      <c r="E92" s="747"/>
      <c r="F92" s="747"/>
      <c r="G92" s="747"/>
      <c r="H92" s="747"/>
      <c r="I92" s="747"/>
      <c r="J92" s="747"/>
      <c r="K92" s="747"/>
      <c r="L92" s="188"/>
      <c r="Y92" s="466"/>
      <c r="Z92" s="466"/>
      <c r="AA92" s="466"/>
    </row>
    <row r="93" spans="1:27" s="189" customFormat="1" ht="24.75" customHeight="1" hidden="1">
      <c r="A93" s="202"/>
      <c r="B93" s="755" t="s">
        <v>379</v>
      </c>
      <c r="C93" s="755"/>
      <c r="D93" s="755"/>
      <c r="E93" s="755"/>
      <c r="F93" s="755"/>
      <c r="G93" s="755"/>
      <c r="H93" s="755"/>
      <c r="I93" s="755"/>
      <c r="J93" s="755"/>
      <c r="K93" s="755"/>
      <c r="L93" s="188"/>
      <c r="Y93" s="466"/>
      <c r="Z93" s="466"/>
      <c r="AA93" s="466"/>
    </row>
    <row r="94" spans="1:27" s="189" customFormat="1" ht="72" customHeight="1" hidden="1">
      <c r="A94" s="202"/>
      <c r="B94" s="747" t="s">
        <v>380</v>
      </c>
      <c r="C94" s="747"/>
      <c r="D94" s="747"/>
      <c r="E94" s="747"/>
      <c r="F94" s="747"/>
      <c r="G94" s="747"/>
      <c r="H94" s="747"/>
      <c r="I94" s="747"/>
      <c r="J94" s="747"/>
      <c r="K94" s="747"/>
      <c r="L94" s="188"/>
      <c r="Y94" s="466"/>
      <c r="Z94" s="466"/>
      <c r="AA94" s="466"/>
    </row>
    <row r="95" spans="1:27" s="189" customFormat="1" ht="49.5" customHeight="1" hidden="1">
      <c r="A95" s="202"/>
      <c r="B95" s="747" t="s">
        <v>381</v>
      </c>
      <c r="C95" s="747"/>
      <c r="D95" s="747"/>
      <c r="E95" s="747"/>
      <c r="F95" s="747"/>
      <c r="G95" s="747"/>
      <c r="H95" s="747"/>
      <c r="I95" s="747"/>
      <c r="J95" s="747"/>
      <c r="K95" s="747"/>
      <c r="L95" s="188"/>
      <c r="Y95" s="466"/>
      <c r="Z95" s="466"/>
      <c r="AA95" s="466"/>
    </row>
    <row r="96" spans="1:27" s="189" customFormat="1" ht="24.75" customHeight="1" hidden="1">
      <c r="A96" s="202"/>
      <c r="B96" s="755" t="s">
        <v>382</v>
      </c>
      <c r="C96" s="755"/>
      <c r="D96" s="755"/>
      <c r="E96" s="755"/>
      <c r="F96" s="755"/>
      <c r="G96" s="755"/>
      <c r="H96" s="755"/>
      <c r="I96" s="755"/>
      <c r="J96" s="755"/>
      <c r="K96" s="755"/>
      <c r="L96" s="188"/>
      <c r="Y96" s="466"/>
      <c r="Z96" s="466"/>
      <c r="AA96" s="466"/>
    </row>
    <row r="97" spans="1:27" s="189" customFormat="1" ht="34.5" customHeight="1" hidden="1">
      <c r="A97" s="202"/>
      <c r="B97" s="747" t="s">
        <v>383</v>
      </c>
      <c r="C97" s="747"/>
      <c r="D97" s="747"/>
      <c r="E97" s="747"/>
      <c r="F97" s="747"/>
      <c r="G97" s="747"/>
      <c r="H97" s="747"/>
      <c r="I97" s="747"/>
      <c r="J97" s="747"/>
      <c r="K97" s="747"/>
      <c r="L97" s="188"/>
      <c r="Y97" s="466"/>
      <c r="Z97" s="466"/>
      <c r="AA97" s="466"/>
    </row>
    <row r="98" spans="1:27" s="189" customFormat="1" ht="18" customHeight="1">
      <c r="A98" s="202"/>
      <c r="B98" s="755" t="s">
        <v>384</v>
      </c>
      <c r="C98" s="755"/>
      <c r="D98" s="755"/>
      <c r="E98" s="755"/>
      <c r="F98" s="755"/>
      <c r="G98" s="755"/>
      <c r="H98" s="755"/>
      <c r="I98" s="755"/>
      <c r="J98" s="755"/>
      <c r="K98" s="755"/>
      <c r="L98" s="188"/>
      <c r="Y98" s="466"/>
      <c r="Z98" s="466"/>
      <c r="AA98" s="466"/>
    </row>
    <row r="99" spans="1:27" s="189" customFormat="1" ht="49.5" customHeight="1">
      <c r="A99" s="202"/>
      <c r="B99" s="747" t="s">
        <v>385</v>
      </c>
      <c r="C99" s="747"/>
      <c r="D99" s="747"/>
      <c r="E99" s="747"/>
      <c r="F99" s="747"/>
      <c r="G99" s="747"/>
      <c r="H99" s="747"/>
      <c r="I99" s="747"/>
      <c r="J99" s="747"/>
      <c r="K99" s="747"/>
      <c r="L99" s="188"/>
      <c r="Y99" s="466"/>
      <c r="Z99" s="466"/>
      <c r="AA99" s="466"/>
    </row>
    <row r="100" spans="1:27" s="189" customFormat="1" ht="18" customHeight="1">
      <c r="A100" s="202"/>
      <c r="B100" s="755" t="s">
        <v>386</v>
      </c>
      <c r="C100" s="755"/>
      <c r="D100" s="755"/>
      <c r="E100" s="755"/>
      <c r="F100" s="755"/>
      <c r="G100" s="755"/>
      <c r="H100" s="755"/>
      <c r="I100" s="755"/>
      <c r="J100" s="755"/>
      <c r="K100" s="755"/>
      <c r="L100" s="188"/>
      <c r="Y100" s="466"/>
      <c r="Z100" s="466"/>
      <c r="AA100" s="466"/>
    </row>
    <row r="101" spans="1:27" s="189" customFormat="1" ht="34.5" customHeight="1">
      <c r="A101" s="202"/>
      <c r="B101" s="747" t="s">
        <v>387</v>
      </c>
      <c r="C101" s="747"/>
      <c r="D101" s="747"/>
      <c r="E101" s="747"/>
      <c r="F101" s="747"/>
      <c r="G101" s="747"/>
      <c r="H101" s="747"/>
      <c r="I101" s="747"/>
      <c r="J101" s="747"/>
      <c r="K101" s="747"/>
      <c r="L101" s="188"/>
      <c r="Y101" s="466"/>
      <c r="Z101" s="466"/>
      <c r="AA101" s="466"/>
    </row>
    <row r="102" spans="1:27" s="189" customFormat="1" ht="24.75" customHeight="1" hidden="1">
      <c r="A102" s="202"/>
      <c r="B102" s="755" t="s">
        <v>388</v>
      </c>
      <c r="C102" s="755"/>
      <c r="D102" s="755"/>
      <c r="E102" s="755"/>
      <c r="F102" s="755"/>
      <c r="G102" s="755"/>
      <c r="H102" s="755"/>
      <c r="I102" s="755"/>
      <c r="J102" s="755"/>
      <c r="K102" s="755"/>
      <c r="L102" s="188"/>
      <c r="Y102" s="466"/>
      <c r="Z102" s="466"/>
      <c r="AA102" s="466"/>
    </row>
    <row r="103" spans="1:27" s="189" customFormat="1" ht="50.25" customHeight="1" hidden="1">
      <c r="A103" s="202"/>
      <c r="B103" s="747" t="s">
        <v>389</v>
      </c>
      <c r="C103" s="747"/>
      <c r="D103" s="747"/>
      <c r="E103" s="747"/>
      <c r="F103" s="747"/>
      <c r="G103" s="747"/>
      <c r="H103" s="747"/>
      <c r="I103" s="747"/>
      <c r="J103" s="747"/>
      <c r="K103" s="747"/>
      <c r="L103" s="188"/>
      <c r="Y103" s="466"/>
      <c r="Z103" s="466"/>
      <c r="AA103" s="466"/>
    </row>
    <row r="104" spans="1:27" s="225" customFormat="1" ht="24.75" customHeight="1" hidden="1">
      <c r="A104" s="223"/>
      <c r="B104" s="755" t="s">
        <v>390</v>
      </c>
      <c r="C104" s="755"/>
      <c r="D104" s="755"/>
      <c r="E104" s="755"/>
      <c r="F104" s="755"/>
      <c r="G104" s="755"/>
      <c r="H104" s="755"/>
      <c r="I104" s="755"/>
      <c r="J104" s="755"/>
      <c r="K104" s="755"/>
      <c r="L104" s="224"/>
      <c r="Y104" s="672"/>
      <c r="Z104" s="672"/>
      <c r="AA104" s="672"/>
    </row>
    <row r="105" spans="1:27" s="189" customFormat="1" ht="66" customHeight="1" hidden="1">
      <c r="A105" s="202"/>
      <c r="B105" s="747" t="s">
        <v>391</v>
      </c>
      <c r="C105" s="747"/>
      <c r="D105" s="747"/>
      <c r="E105" s="747"/>
      <c r="F105" s="747"/>
      <c r="G105" s="747"/>
      <c r="H105" s="747"/>
      <c r="I105" s="747"/>
      <c r="J105" s="747"/>
      <c r="K105" s="747"/>
      <c r="L105" s="188"/>
      <c r="Y105" s="466"/>
      <c r="Z105" s="466"/>
      <c r="AA105" s="466"/>
    </row>
    <row r="106" spans="1:27" s="189" customFormat="1" ht="50.25" customHeight="1" hidden="1">
      <c r="A106" s="202"/>
      <c r="B106" s="747" t="s">
        <v>392</v>
      </c>
      <c r="C106" s="747"/>
      <c r="D106" s="747"/>
      <c r="E106" s="747"/>
      <c r="F106" s="747"/>
      <c r="G106" s="747"/>
      <c r="H106" s="747"/>
      <c r="I106" s="747"/>
      <c r="J106" s="747"/>
      <c r="K106" s="747"/>
      <c r="L106" s="188"/>
      <c r="Y106" s="466"/>
      <c r="Z106" s="466"/>
      <c r="AA106" s="466"/>
    </row>
    <row r="107" spans="1:27" s="189" customFormat="1" ht="24.75" customHeight="1" hidden="1">
      <c r="A107" s="202"/>
      <c r="B107" s="755" t="s">
        <v>393</v>
      </c>
      <c r="C107" s="755"/>
      <c r="D107" s="755"/>
      <c r="E107" s="755"/>
      <c r="F107" s="755"/>
      <c r="G107" s="755"/>
      <c r="H107" s="755"/>
      <c r="I107" s="755"/>
      <c r="J107" s="755"/>
      <c r="K107" s="755"/>
      <c r="L107" s="188"/>
      <c r="Y107" s="466"/>
      <c r="Z107" s="466"/>
      <c r="AA107" s="466"/>
    </row>
    <row r="108" spans="1:27" s="189" customFormat="1" ht="49.5" customHeight="1" hidden="1">
      <c r="A108" s="202"/>
      <c r="B108" s="747" t="s">
        <v>394</v>
      </c>
      <c r="C108" s="747"/>
      <c r="D108" s="747"/>
      <c r="E108" s="747"/>
      <c r="F108" s="747"/>
      <c r="G108" s="747"/>
      <c r="H108" s="747"/>
      <c r="I108" s="747"/>
      <c r="J108" s="747"/>
      <c r="K108" s="747"/>
      <c r="L108" s="188"/>
      <c r="Y108" s="466"/>
      <c r="Z108" s="466"/>
      <c r="AA108" s="466"/>
    </row>
    <row r="109" spans="1:27" s="194" customFormat="1" ht="24.75" customHeight="1" hidden="1">
      <c r="A109" s="201" t="s">
        <v>395</v>
      </c>
      <c r="B109" s="752" t="s">
        <v>396</v>
      </c>
      <c r="C109" s="756"/>
      <c r="D109" s="756"/>
      <c r="E109" s="756"/>
      <c r="F109" s="756"/>
      <c r="G109" s="756"/>
      <c r="H109" s="756"/>
      <c r="I109" s="756"/>
      <c r="J109" s="756"/>
      <c r="K109" s="756"/>
      <c r="L109" s="226"/>
      <c r="Y109" s="667"/>
      <c r="Z109" s="667"/>
      <c r="AA109" s="667"/>
    </row>
    <row r="110" spans="1:27" s="189" customFormat="1" ht="78.75" customHeight="1" hidden="1">
      <c r="A110" s="202"/>
      <c r="B110" s="752" t="s">
        <v>397</v>
      </c>
      <c r="C110" s="747"/>
      <c r="D110" s="747"/>
      <c r="E110" s="747"/>
      <c r="F110" s="747"/>
      <c r="G110" s="747"/>
      <c r="H110" s="747"/>
      <c r="I110" s="747"/>
      <c r="J110" s="747"/>
      <c r="K110" s="747"/>
      <c r="L110" s="209" t="s">
        <v>398</v>
      </c>
      <c r="Y110" s="466"/>
      <c r="Z110" s="466"/>
      <c r="AA110" s="466"/>
    </row>
    <row r="111" spans="1:27" s="189" customFormat="1" ht="24.75" customHeight="1">
      <c r="A111" s="201" t="s">
        <v>399</v>
      </c>
      <c r="B111" s="752" t="s">
        <v>400</v>
      </c>
      <c r="C111" s="749"/>
      <c r="D111" s="749"/>
      <c r="E111" s="749"/>
      <c r="F111" s="749"/>
      <c r="G111" s="749"/>
      <c r="H111" s="749"/>
      <c r="I111" s="749"/>
      <c r="J111" s="749"/>
      <c r="K111" s="749"/>
      <c r="L111" s="209"/>
      <c r="Y111" s="466"/>
      <c r="Z111" s="466"/>
      <c r="AA111" s="466"/>
    </row>
    <row r="112" spans="1:27" s="189" customFormat="1" ht="34.5" customHeight="1">
      <c r="A112" s="202"/>
      <c r="B112" s="754" t="s">
        <v>401</v>
      </c>
      <c r="C112" s="754"/>
      <c r="D112" s="754"/>
      <c r="E112" s="754"/>
      <c r="F112" s="754"/>
      <c r="G112" s="754"/>
      <c r="H112" s="754"/>
      <c r="I112" s="754"/>
      <c r="J112" s="754"/>
      <c r="K112" s="754"/>
      <c r="L112" s="209"/>
      <c r="Y112" s="466"/>
      <c r="Z112" s="466"/>
      <c r="AA112" s="466"/>
    </row>
    <row r="113" spans="1:27" s="231" customFormat="1" ht="23.25" customHeight="1">
      <c r="A113" s="227"/>
      <c r="B113" s="228" t="s">
        <v>402</v>
      </c>
      <c r="C113" s="228"/>
      <c r="D113" s="228"/>
      <c r="E113" s="228"/>
      <c r="F113" s="228"/>
      <c r="G113" s="228"/>
      <c r="H113" s="228"/>
      <c r="I113" s="229"/>
      <c r="J113" s="229"/>
      <c r="K113" s="229"/>
      <c r="L113" s="230" t="s">
        <v>403</v>
      </c>
      <c r="Y113" s="673"/>
      <c r="Z113" s="673"/>
      <c r="AA113" s="673"/>
    </row>
    <row r="114" spans="1:27" s="189" customFormat="1" ht="15.75" customHeight="1">
      <c r="A114" s="223"/>
      <c r="B114" s="232" t="s">
        <v>1</v>
      </c>
      <c r="C114" s="232"/>
      <c r="D114" s="232"/>
      <c r="E114" s="232"/>
      <c r="F114" s="232"/>
      <c r="G114" s="232"/>
      <c r="H114" s="232"/>
      <c r="I114" s="233" t="s">
        <v>404</v>
      </c>
      <c r="J114" s="234"/>
      <c r="K114" s="234"/>
      <c r="L114" s="188"/>
      <c r="Y114" s="466"/>
      <c r="Z114" s="466"/>
      <c r="AA114" s="466"/>
    </row>
    <row r="115" spans="1:27" s="189" customFormat="1" ht="15.75" customHeight="1">
      <c r="A115" s="223"/>
      <c r="B115" s="232" t="s">
        <v>405</v>
      </c>
      <c r="C115" s="232"/>
      <c r="D115" s="232"/>
      <c r="E115" s="232"/>
      <c r="F115" s="232"/>
      <c r="G115" s="232"/>
      <c r="H115" s="232"/>
      <c r="I115" s="233" t="s">
        <v>406</v>
      </c>
      <c r="J115" s="234"/>
      <c r="K115" s="234"/>
      <c r="L115" s="188"/>
      <c r="Y115" s="466"/>
      <c r="Z115" s="466"/>
      <c r="AA115" s="466"/>
    </row>
    <row r="116" spans="1:27" s="189" customFormat="1" ht="15.75" customHeight="1">
      <c r="A116" s="223"/>
      <c r="B116" s="232" t="s">
        <v>2</v>
      </c>
      <c r="C116" s="232"/>
      <c r="D116" s="232"/>
      <c r="E116" s="232"/>
      <c r="F116" s="232"/>
      <c r="G116" s="232"/>
      <c r="H116" s="232"/>
      <c r="I116" s="233" t="s">
        <v>407</v>
      </c>
      <c r="J116" s="234"/>
      <c r="K116" s="234"/>
      <c r="L116" s="188"/>
      <c r="Y116" s="466"/>
      <c r="Z116" s="466"/>
      <c r="AA116" s="466"/>
    </row>
    <row r="117" spans="1:27" s="189" customFormat="1" ht="15.75" customHeight="1">
      <c r="A117" s="223"/>
      <c r="B117" s="232" t="s">
        <v>3</v>
      </c>
      <c r="C117" s="232"/>
      <c r="D117" s="232"/>
      <c r="E117" s="232"/>
      <c r="F117" s="232"/>
      <c r="G117" s="232"/>
      <c r="H117" s="232"/>
      <c r="I117" s="233" t="s">
        <v>408</v>
      </c>
      <c r="J117" s="234"/>
      <c r="K117" s="234"/>
      <c r="L117" s="188"/>
      <c r="Y117" s="466"/>
      <c r="Z117" s="466"/>
      <c r="AA117" s="466"/>
    </row>
    <row r="118" spans="1:27" s="189" customFormat="1" ht="15.75" customHeight="1">
      <c r="A118" s="223"/>
      <c r="B118" s="232" t="s">
        <v>386</v>
      </c>
      <c r="C118" s="232"/>
      <c r="D118" s="232"/>
      <c r="E118" s="232"/>
      <c r="F118" s="232"/>
      <c r="G118" s="232"/>
      <c r="H118" s="232"/>
      <c r="I118" s="233" t="s">
        <v>409</v>
      </c>
      <c r="J118" s="234"/>
      <c r="K118" s="234"/>
      <c r="L118" s="188"/>
      <c r="Y118" s="466"/>
      <c r="Z118" s="466"/>
      <c r="AA118" s="466"/>
    </row>
    <row r="119" spans="1:27" s="189" customFormat="1" ht="30" customHeight="1">
      <c r="A119" s="223"/>
      <c r="B119" s="788" t="s">
        <v>410</v>
      </c>
      <c r="C119" s="788"/>
      <c r="D119" s="788"/>
      <c r="E119" s="788"/>
      <c r="F119" s="788"/>
      <c r="G119" s="788"/>
      <c r="H119" s="788"/>
      <c r="I119" s="788"/>
      <c r="J119" s="788"/>
      <c r="K119" s="788"/>
      <c r="L119" s="188"/>
      <c r="Y119" s="466"/>
      <c r="Z119" s="466"/>
      <c r="AA119" s="466"/>
    </row>
    <row r="120" spans="1:27" s="189" customFormat="1" ht="18" customHeight="1">
      <c r="A120" s="223"/>
      <c r="B120" s="235" t="s">
        <v>411</v>
      </c>
      <c r="C120" s="235"/>
      <c r="D120" s="235"/>
      <c r="E120" s="235"/>
      <c r="F120" s="235"/>
      <c r="G120" s="235"/>
      <c r="H120" s="235"/>
      <c r="I120" s="235"/>
      <c r="J120" s="235"/>
      <c r="K120" s="235"/>
      <c r="L120" s="188"/>
      <c r="Y120" s="466"/>
      <c r="Z120" s="466"/>
      <c r="AA120" s="466"/>
    </row>
    <row r="121" spans="1:27" s="189" customFormat="1" ht="24.75" customHeight="1">
      <c r="A121" s="185" t="s">
        <v>261</v>
      </c>
      <c r="B121" s="186" t="s">
        <v>412</v>
      </c>
      <c r="C121" s="186"/>
      <c r="D121" s="186"/>
      <c r="E121" s="186"/>
      <c r="F121" s="186"/>
      <c r="G121" s="186"/>
      <c r="H121" s="186"/>
      <c r="I121" s="187"/>
      <c r="J121" s="187"/>
      <c r="K121" s="187"/>
      <c r="L121" s="188"/>
      <c r="M121" s="210"/>
      <c r="N121" s="210"/>
      <c r="O121" s="210"/>
      <c r="P121" s="210"/>
      <c r="Y121" s="466"/>
      <c r="Z121" s="466"/>
      <c r="AA121" s="466"/>
    </row>
    <row r="122" spans="1:27" s="189" customFormat="1" ht="36" customHeight="1">
      <c r="A122" s="223"/>
      <c r="B122" s="747" t="s">
        <v>413</v>
      </c>
      <c r="C122" s="747"/>
      <c r="D122" s="747"/>
      <c r="E122" s="747"/>
      <c r="F122" s="747"/>
      <c r="G122" s="747"/>
      <c r="H122" s="747"/>
      <c r="I122" s="747"/>
      <c r="J122" s="747"/>
      <c r="K122" s="747"/>
      <c r="L122" s="188"/>
      <c r="Y122" s="466"/>
      <c r="Z122" s="466"/>
      <c r="AA122" s="466"/>
    </row>
    <row r="123" spans="1:27" s="189" customFormat="1" ht="35.25" customHeight="1">
      <c r="A123" s="223"/>
      <c r="B123" s="747" t="s">
        <v>414</v>
      </c>
      <c r="C123" s="747"/>
      <c r="D123" s="747"/>
      <c r="E123" s="747"/>
      <c r="F123" s="747"/>
      <c r="G123" s="747"/>
      <c r="H123" s="747"/>
      <c r="I123" s="747"/>
      <c r="J123" s="747"/>
      <c r="K123" s="747"/>
      <c r="L123" s="188"/>
      <c r="Y123" s="466"/>
      <c r="Z123" s="466"/>
      <c r="AA123" s="466"/>
    </row>
    <row r="124" spans="1:27" s="189" customFormat="1" ht="24.75" customHeight="1" hidden="1">
      <c r="A124" s="185" t="s">
        <v>258</v>
      </c>
      <c r="B124" s="186" t="s">
        <v>415</v>
      </c>
      <c r="C124" s="186"/>
      <c r="D124" s="186"/>
      <c r="E124" s="186"/>
      <c r="F124" s="186"/>
      <c r="G124" s="186"/>
      <c r="H124" s="186"/>
      <c r="I124" s="187"/>
      <c r="J124" s="187"/>
      <c r="K124" s="187"/>
      <c r="L124" s="188"/>
      <c r="Y124" s="466"/>
      <c r="Z124" s="466"/>
      <c r="AA124" s="466"/>
    </row>
    <row r="125" spans="1:27" s="189" customFormat="1" ht="24.75" customHeight="1" hidden="1">
      <c r="A125" s="201"/>
      <c r="B125" s="753" t="s">
        <v>416</v>
      </c>
      <c r="C125" s="754"/>
      <c r="D125" s="754"/>
      <c r="E125" s="754"/>
      <c r="F125" s="754"/>
      <c r="G125" s="754"/>
      <c r="H125" s="754"/>
      <c r="I125" s="754"/>
      <c r="J125" s="754"/>
      <c r="K125" s="754"/>
      <c r="L125" s="188"/>
      <c r="Y125" s="466"/>
      <c r="Z125" s="466"/>
      <c r="AA125" s="466"/>
    </row>
    <row r="126" spans="1:27" s="189" customFormat="1" ht="50.25" customHeight="1" hidden="1">
      <c r="A126" s="202"/>
      <c r="B126" s="753" t="s">
        <v>417</v>
      </c>
      <c r="C126" s="754"/>
      <c r="D126" s="754"/>
      <c r="E126" s="754"/>
      <c r="F126" s="754"/>
      <c r="G126" s="754"/>
      <c r="H126" s="754"/>
      <c r="I126" s="754"/>
      <c r="J126" s="754"/>
      <c r="K126" s="754"/>
      <c r="L126" s="209" t="s">
        <v>418</v>
      </c>
      <c r="Y126" s="466"/>
      <c r="Z126" s="466"/>
      <c r="AA126" s="466"/>
    </row>
    <row r="127" spans="1:27" s="189" customFormat="1" ht="36" customHeight="1" hidden="1">
      <c r="A127" s="202"/>
      <c r="B127" s="747" t="s">
        <v>419</v>
      </c>
      <c r="C127" s="747"/>
      <c r="D127" s="747"/>
      <c r="E127" s="747"/>
      <c r="F127" s="747"/>
      <c r="G127" s="747"/>
      <c r="H127" s="747"/>
      <c r="I127" s="747"/>
      <c r="J127" s="747"/>
      <c r="K127" s="747"/>
      <c r="L127" s="188" t="s">
        <v>420</v>
      </c>
      <c r="Y127" s="466"/>
      <c r="Z127" s="466"/>
      <c r="AA127" s="466"/>
    </row>
    <row r="128" spans="1:27" s="189" customFormat="1" ht="36" customHeight="1" hidden="1">
      <c r="A128" s="202"/>
      <c r="B128" s="747" t="s">
        <v>421</v>
      </c>
      <c r="C128" s="747"/>
      <c r="D128" s="747"/>
      <c r="E128" s="747"/>
      <c r="F128" s="747"/>
      <c r="G128" s="747"/>
      <c r="H128" s="747"/>
      <c r="I128" s="747"/>
      <c r="J128" s="747"/>
      <c r="K128" s="747"/>
      <c r="L128" s="188" t="s">
        <v>420</v>
      </c>
      <c r="Y128" s="466"/>
      <c r="Z128" s="466"/>
      <c r="AA128" s="466"/>
    </row>
    <row r="129" spans="1:27" s="189" customFormat="1" ht="52.5" customHeight="1" hidden="1">
      <c r="A129" s="202"/>
      <c r="B129" s="756" t="s">
        <v>422</v>
      </c>
      <c r="C129" s="756"/>
      <c r="D129" s="756"/>
      <c r="E129" s="756"/>
      <c r="F129" s="756"/>
      <c r="G129" s="756"/>
      <c r="H129" s="756"/>
      <c r="I129" s="756"/>
      <c r="J129" s="756"/>
      <c r="K129" s="756"/>
      <c r="L129" s="209"/>
      <c r="Y129" s="466"/>
      <c r="Z129" s="466"/>
      <c r="AA129" s="466"/>
    </row>
    <row r="130" spans="1:27" s="189" customFormat="1" ht="36" customHeight="1" hidden="1">
      <c r="A130" s="202"/>
      <c r="B130" s="754" t="s">
        <v>423</v>
      </c>
      <c r="C130" s="754"/>
      <c r="D130" s="754"/>
      <c r="E130" s="754"/>
      <c r="F130" s="754"/>
      <c r="G130" s="754"/>
      <c r="H130" s="754"/>
      <c r="I130" s="754"/>
      <c r="J130" s="754"/>
      <c r="K130" s="754"/>
      <c r="L130" s="209"/>
      <c r="Y130" s="466"/>
      <c r="Z130" s="466"/>
      <c r="AA130" s="466"/>
    </row>
    <row r="131" spans="1:27" s="189" customFormat="1" ht="36" customHeight="1" hidden="1">
      <c r="A131" s="201"/>
      <c r="B131" s="749" t="s">
        <v>424</v>
      </c>
      <c r="C131" s="747"/>
      <c r="D131" s="747"/>
      <c r="E131" s="747"/>
      <c r="F131" s="747"/>
      <c r="G131" s="747"/>
      <c r="H131" s="747"/>
      <c r="I131" s="747"/>
      <c r="J131" s="747"/>
      <c r="K131" s="747"/>
      <c r="L131" s="209"/>
      <c r="Y131" s="466"/>
      <c r="Z131" s="466"/>
      <c r="AA131" s="466"/>
    </row>
    <row r="132" spans="1:27" s="238" customFormat="1" ht="24.75" customHeight="1" hidden="1">
      <c r="A132" s="236"/>
      <c r="B132" s="195" t="s">
        <v>425</v>
      </c>
      <c r="C132" s="195"/>
      <c r="D132" s="195"/>
      <c r="E132" s="195"/>
      <c r="F132" s="195"/>
      <c r="G132" s="195"/>
      <c r="H132" s="195"/>
      <c r="I132" s="237"/>
      <c r="J132" s="237"/>
      <c r="K132" s="237"/>
      <c r="Y132" s="674"/>
      <c r="Z132" s="674"/>
      <c r="AA132" s="674"/>
    </row>
    <row r="133" spans="1:27" s="189" customFormat="1" ht="15.75" customHeight="1" hidden="1">
      <c r="A133" s="223"/>
      <c r="B133" s="232" t="s">
        <v>1</v>
      </c>
      <c r="C133" s="232"/>
      <c r="D133" s="232"/>
      <c r="E133" s="232"/>
      <c r="F133" s="232"/>
      <c r="G133" s="232"/>
      <c r="H133" s="232"/>
      <c r="I133" s="234" t="s">
        <v>404</v>
      </c>
      <c r="J133" s="234"/>
      <c r="K133" s="234"/>
      <c r="L133" s="188" t="s">
        <v>420</v>
      </c>
      <c r="Y133" s="466"/>
      <c r="Z133" s="466"/>
      <c r="AA133" s="466"/>
    </row>
    <row r="134" spans="1:27" s="189" customFormat="1" ht="15.75" customHeight="1" hidden="1">
      <c r="A134" s="223"/>
      <c r="B134" s="232" t="s">
        <v>410</v>
      </c>
      <c r="C134" s="232"/>
      <c r="D134" s="232"/>
      <c r="E134" s="232"/>
      <c r="F134" s="232"/>
      <c r="G134" s="232"/>
      <c r="H134" s="232"/>
      <c r="I134" s="234"/>
      <c r="J134" s="234"/>
      <c r="K134" s="234"/>
      <c r="L134" s="188" t="s">
        <v>420</v>
      </c>
      <c r="Y134" s="466"/>
      <c r="Z134" s="466"/>
      <c r="AA134" s="466"/>
    </row>
    <row r="135" spans="1:27" s="189" customFormat="1" ht="15.75" customHeight="1" hidden="1">
      <c r="A135" s="223"/>
      <c r="B135" s="232" t="s">
        <v>411</v>
      </c>
      <c r="C135" s="232"/>
      <c r="D135" s="232"/>
      <c r="E135" s="232"/>
      <c r="F135" s="232"/>
      <c r="G135" s="232"/>
      <c r="H135" s="232"/>
      <c r="I135" s="234"/>
      <c r="J135" s="234"/>
      <c r="K135" s="234"/>
      <c r="L135" s="188" t="s">
        <v>420</v>
      </c>
      <c r="Y135" s="466"/>
      <c r="Z135" s="466"/>
      <c r="AA135" s="466"/>
    </row>
    <row r="136" spans="1:27" s="189" customFormat="1" ht="24.75" customHeight="1">
      <c r="A136" s="185" t="s">
        <v>426</v>
      </c>
      <c r="B136" s="186" t="s">
        <v>427</v>
      </c>
      <c r="C136" s="186"/>
      <c r="D136" s="186"/>
      <c r="E136" s="186"/>
      <c r="F136" s="186"/>
      <c r="G136" s="186"/>
      <c r="H136" s="186"/>
      <c r="I136" s="187"/>
      <c r="J136" s="187"/>
      <c r="K136" s="187"/>
      <c r="L136" s="188"/>
      <c r="Y136" s="466"/>
      <c r="Z136" s="466"/>
      <c r="AA136" s="466"/>
    </row>
    <row r="137" spans="1:27" s="189" customFormat="1" ht="77.25" customHeight="1">
      <c r="A137" s="185"/>
      <c r="B137" s="749" t="s">
        <v>428</v>
      </c>
      <c r="C137" s="747"/>
      <c r="D137" s="747"/>
      <c r="E137" s="747"/>
      <c r="F137" s="747"/>
      <c r="G137" s="747"/>
      <c r="H137" s="747"/>
      <c r="I137" s="747"/>
      <c r="J137" s="747"/>
      <c r="K137" s="747"/>
      <c r="L137" s="209" t="s">
        <v>429</v>
      </c>
      <c r="Y137" s="466"/>
      <c r="Z137" s="466"/>
      <c r="AA137" s="466"/>
    </row>
    <row r="138" spans="1:27" s="189" customFormat="1" ht="62.25" customHeight="1" hidden="1">
      <c r="A138" s="185"/>
      <c r="B138" s="747" t="s">
        <v>430</v>
      </c>
      <c r="C138" s="747"/>
      <c r="D138" s="747"/>
      <c r="E138" s="747"/>
      <c r="F138" s="747"/>
      <c r="G138" s="747"/>
      <c r="H138" s="747"/>
      <c r="I138" s="747"/>
      <c r="J138" s="747"/>
      <c r="K138" s="747"/>
      <c r="L138" s="209"/>
      <c r="Y138" s="466"/>
      <c r="Z138" s="466"/>
      <c r="AA138" s="466"/>
    </row>
    <row r="139" spans="1:27" s="189" customFormat="1" ht="64.5" customHeight="1" hidden="1">
      <c r="A139" s="185"/>
      <c r="B139" s="749" t="s">
        <v>431</v>
      </c>
      <c r="C139" s="747"/>
      <c r="D139" s="747"/>
      <c r="E139" s="747"/>
      <c r="F139" s="747"/>
      <c r="G139" s="747"/>
      <c r="H139" s="747"/>
      <c r="I139" s="747"/>
      <c r="J139" s="747"/>
      <c r="K139" s="747"/>
      <c r="L139" s="209" t="s">
        <v>432</v>
      </c>
      <c r="M139" s="239"/>
      <c r="Y139" s="466"/>
      <c r="Z139" s="466"/>
      <c r="AA139" s="466"/>
    </row>
    <row r="140" spans="1:27" s="189" customFormat="1" ht="74.25" customHeight="1" hidden="1">
      <c r="A140" s="185"/>
      <c r="B140" s="749" t="s">
        <v>433</v>
      </c>
      <c r="C140" s="747"/>
      <c r="D140" s="747"/>
      <c r="E140" s="747"/>
      <c r="F140" s="747"/>
      <c r="G140" s="747"/>
      <c r="H140" s="747"/>
      <c r="I140" s="747"/>
      <c r="J140" s="747"/>
      <c r="K140" s="747"/>
      <c r="L140" s="209" t="s">
        <v>434</v>
      </c>
      <c r="M140" s="239"/>
      <c r="Y140" s="466"/>
      <c r="Z140" s="466"/>
      <c r="AA140" s="466"/>
    </row>
    <row r="141" spans="1:27" s="189" customFormat="1" ht="79.5" customHeight="1" hidden="1">
      <c r="A141" s="236"/>
      <c r="B141" s="749" t="s">
        <v>435</v>
      </c>
      <c r="C141" s="747"/>
      <c r="D141" s="747"/>
      <c r="E141" s="747"/>
      <c r="F141" s="747"/>
      <c r="G141" s="747"/>
      <c r="H141" s="747"/>
      <c r="I141" s="747"/>
      <c r="J141" s="747"/>
      <c r="K141" s="747"/>
      <c r="L141" s="209" t="s">
        <v>436</v>
      </c>
      <c r="Y141" s="466"/>
      <c r="Z141" s="466"/>
      <c r="AA141" s="466"/>
    </row>
    <row r="142" spans="1:27" s="189" customFormat="1" ht="37.5" customHeight="1">
      <c r="A142" s="236"/>
      <c r="B142" s="217"/>
      <c r="C142" s="208"/>
      <c r="D142" s="208"/>
      <c r="E142" s="208"/>
      <c r="F142" s="208"/>
      <c r="G142" s="208"/>
      <c r="H142" s="208"/>
      <c r="I142" s="208"/>
      <c r="J142" s="208"/>
      <c r="K142" s="208"/>
      <c r="L142" s="209"/>
      <c r="Y142" s="466"/>
      <c r="Z142" s="466"/>
      <c r="AA142" s="466"/>
    </row>
    <row r="143" spans="1:27" s="189" customFormat="1" ht="19.5" customHeight="1">
      <c r="A143" s="236"/>
      <c r="B143" s="240" t="s">
        <v>437</v>
      </c>
      <c r="C143" s="219"/>
      <c r="D143" s="219"/>
      <c r="E143" s="219"/>
      <c r="F143" s="219"/>
      <c r="G143" s="219"/>
      <c r="H143" s="219"/>
      <c r="I143" s="219"/>
      <c r="J143" s="219"/>
      <c r="K143" s="219"/>
      <c r="L143" s="188"/>
      <c r="Y143" s="466"/>
      <c r="Z143" s="466"/>
      <c r="AA143" s="466"/>
    </row>
    <row r="144" spans="1:27" s="189" customFormat="1" ht="34.5" customHeight="1">
      <c r="A144" s="236"/>
      <c r="B144" s="747" t="s">
        <v>438</v>
      </c>
      <c r="C144" s="747"/>
      <c r="D144" s="747"/>
      <c r="E144" s="747"/>
      <c r="F144" s="747"/>
      <c r="G144" s="747"/>
      <c r="H144" s="747"/>
      <c r="I144" s="747"/>
      <c r="J144" s="747"/>
      <c r="K144" s="747"/>
      <c r="L144" s="188" t="s">
        <v>439</v>
      </c>
      <c r="Y144" s="466"/>
      <c r="Z144" s="466"/>
      <c r="AA144" s="466"/>
    </row>
    <row r="145" spans="1:27" s="189" customFormat="1" ht="49.5" customHeight="1">
      <c r="A145" s="236"/>
      <c r="B145" s="747" t="s">
        <v>440</v>
      </c>
      <c r="C145" s="747"/>
      <c r="D145" s="747"/>
      <c r="E145" s="747"/>
      <c r="F145" s="747"/>
      <c r="G145" s="747"/>
      <c r="H145" s="747"/>
      <c r="I145" s="747"/>
      <c r="J145" s="747"/>
      <c r="K145" s="747"/>
      <c r="L145" s="188" t="s">
        <v>439</v>
      </c>
      <c r="Y145" s="466"/>
      <c r="Z145" s="466"/>
      <c r="AA145" s="466"/>
    </row>
    <row r="146" spans="1:27" s="189" customFormat="1" ht="34.5" customHeight="1">
      <c r="A146" s="236"/>
      <c r="B146" s="747" t="s">
        <v>441</v>
      </c>
      <c r="C146" s="747"/>
      <c r="D146" s="747"/>
      <c r="E146" s="747"/>
      <c r="F146" s="747"/>
      <c r="G146" s="747"/>
      <c r="H146" s="747"/>
      <c r="I146" s="747"/>
      <c r="J146" s="747"/>
      <c r="K146" s="747"/>
      <c r="L146" s="188" t="s">
        <v>439</v>
      </c>
      <c r="Y146" s="466"/>
      <c r="Z146" s="466"/>
      <c r="AA146" s="466"/>
    </row>
    <row r="147" spans="1:27" s="189" customFormat="1" ht="24.75" customHeight="1">
      <c r="A147" s="185" t="s">
        <v>442</v>
      </c>
      <c r="B147" s="186" t="s">
        <v>443</v>
      </c>
      <c r="C147" s="186"/>
      <c r="D147" s="186"/>
      <c r="E147" s="186"/>
      <c r="F147" s="186"/>
      <c r="G147" s="186"/>
      <c r="H147" s="186"/>
      <c r="I147" s="187"/>
      <c r="J147" s="187"/>
      <c r="K147" s="187"/>
      <c r="L147" s="188"/>
      <c r="Y147" s="466"/>
      <c r="Z147" s="466"/>
      <c r="AA147" s="466"/>
    </row>
    <row r="148" spans="1:27" s="189" customFormat="1" ht="78.75" customHeight="1">
      <c r="A148" s="202"/>
      <c r="B148" s="749" t="s">
        <v>444</v>
      </c>
      <c r="C148" s="747"/>
      <c r="D148" s="747"/>
      <c r="E148" s="747"/>
      <c r="F148" s="747"/>
      <c r="G148" s="747"/>
      <c r="H148" s="747"/>
      <c r="I148" s="747"/>
      <c r="J148" s="747"/>
      <c r="K148" s="747"/>
      <c r="L148" s="209" t="s">
        <v>445</v>
      </c>
      <c r="Y148" s="466"/>
      <c r="Z148" s="466"/>
      <c r="AA148" s="466"/>
    </row>
    <row r="149" spans="1:27" s="189" customFormat="1" ht="89.25" customHeight="1">
      <c r="A149" s="202"/>
      <c r="B149" s="749" t="s">
        <v>446</v>
      </c>
      <c r="C149" s="747"/>
      <c r="D149" s="747"/>
      <c r="E149" s="747"/>
      <c r="F149" s="747"/>
      <c r="G149" s="747"/>
      <c r="H149" s="747"/>
      <c r="I149" s="747"/>
      <c r="J149" s="747"/>
      <c r="K149" s="747"/>
      <c r="L149" s="209" t="s">
        <v>447</v>
      </c>
      <c r="Y149" s="466"/>
      <c r="Z149" s="466"/>
      <c r="AA149" s="466"/>
    </row>
    <row r="150" spans="1:27" s="189" customFormat="1" ht="24.75" customHeight="1">
      <c r="A150" s="185" t="s">
        <v>448</v>
      </c>
      <c r="B150" s="186" t="s">
        <v>449</v>
      </c>
      <c r="C150" s="186"/>
      <c r="D150" s="186"/>
      <c r="E150" s="186"/>
      <c r="F150" s="186"/>
      <c r="G150" s="186"/>
      <c r="H150" s="186"/>
      <c r="I150" s="187"/>
      <c r="J150" s="187"/>
      <c r="K150" s="187"/>
      <c r="L150" s="188"/>
      <c r="Y150" s="466"/>
      <c r="Z150" s="466"/>
      <c r="AA150" s="466"/>
    </row>
    <row r="151" spans="1:27" s="189" customFormat="1" ht="49.5" customHeight="1">
      <c r="A151" s="202"/>
      <c r="B151" s="749" t="s">
        <v>450</v>
      </c>
      <c r="C151" s="747"/>
      <c r="D151" s="747"/>
      <c r="E151" s="747"/>
      <c r="F151" s="747"/>
      <c r="G151" s="747"/>
      <c r="H151" s="747"/>
      <c r="I151" s="747"/>
      <c r="J151" s="747"/>
      <c r="K151" s="747"/>
      <c r="L151" s="209" t="s">
        <v>451</v>
      </c>
      <c r="M151" s="188" t="s">
        <v>420</v>
      </c>
      <c r="Y151" s="466"/>
      <c r="Z151" s="466"/>
      <c r="AA151" s="466"/>
    </row>
    <row r="152" spans="1:27" s="189" customFormat="1" ht="61.5" customHeight="1">
      <c r="A152" s="236"/>
      <c r="B152" s="757" t="s">
        <v>452</v>
      </c>
      <c r="C152" s="749"/>
      <c r="D152" s="749"/>
      <c r="E152" s="749"/>
      <c r="F152" s="749"/>
      <c r="G152" s="749"/>
      <c r="H152" s="749"/>
      <c r="I152" s="749"/>
      <c r="J152" s="749"/>
      <c r="K152" s="749"/>
      <c r="L152" s="209" t="s">
        <v>451</v>
      </c>
      <c r="M152" s="188" t="s">
        <v>420</v>
      </c>
      <c r="Y152" s="466"/>
      <c r="Z152" s="466"/>
      <c r="AA152" s="466"/>
    </row>
    <row r="153" spans="1:27" s="189" customFormat="1" ht="49.5" customHeight="1" hidden="1">
      <c r="A153" s="236"/>
      <c r="B153" s="757" t="s">
        <v>453</v>
      </c>
      <c r="C153" s="749"/>
      <c r="D153" s="749"/>
      <c r="E153" s="749"/>
      <c r="F153" s="749"/>
      <c r="G153" s="749"/>
      <c r="H153" s="749"/>
      <c r="I153" s="749"/>
      <c r="J153" s="749"/>
      <c r="K153" s="749"/>
      <c r="L153" s="209" t="s">
        <v>454</v>
      </c>
      <c r="M153" s="188"/>
      <c r="Y153" s="466"/>
      <c r="Z153" s="466"/>
      <c r="AA153" s="466"/>
    </row>
    <row r="154" spans="1:27" s="189" customFormat="1" ht="24.75" customHeight="1">
      <c r="A154" s="185" t="s">
        <v>455</v>
      </c>
      <c r="B154" s="186" t="s">
        <v>456</v>
      </c>
      <c r="C154" s="186"/>
      <c r="D154" s="186"/>
      <c r="E154" s="186"/>
      <c r="F154" s="186"/>
      <c r="G154" s="186"/>
      <c r="H154" s="186"/>
      <c r="I154" s="187"/>
      <c r="J154" s="187"/>
      <c r="K154" s="187"/>
      <c r="L154" s="188"/>
      <c r="Y154" s="466"/>
      <c r="Z154" s="466"/>
      <c r="AA154" s="466"/>
    </row>
    <row r="155" spans="1:27" s="189" customFormat="1" ht="34.5" customHeight="1">
      <c r="A155" s="202"/>
      <c r="B155" s="757" t="s">
        <v>457</v>
      </c>
      <c r="C155" s="749"/>
      <c r="D155" s="749"/>
      <c r="E155" s="749"/>
      <c r="F155" s="749"/>
      <c r="G155" s="749"/>
      <c r="H155" s="749"/>
      <c r="I155" s="749"/>
      <c r="J155" s="749"/>
      <c r="K155" s="749"/>
      <c r="L155" s="209" t="s">
        <v>339</v>
      </c>
      <c r="M155" s="188" t="s">
        <v>420</v>
      </c>
      <c r="N155" s="188"/>
      <c r="O155" s="188"/>
      <c r="Y155" s="466"/>
      <c r="Z155" s="466"/>
      <c r="AA155" s="466"/>
    </row>
    <row r="156" spans="1:27" s="189" customFormat="1" ht="24.75" customHeight="1">
      <c r="A156" s="185" t="s">
        <v>458</v>
      </c>
      <c r="B156" s="186" t="s">
        <v>459</v>
      </c>
      <c r="C156" s="186"/>
      <c r="D156" s="186"/>
      <c r="E156" s="186"/>
      <c r="F156" s="186"/>
      <c r="G156" s="186"/>
      <c r="H156" s="186"/>
      <c r="I156" s="187"/>
      <c r="J156" s="187"/>
      <c r="K156" s="187"/>
      <c r="L156" s="188"/>
      <c r="Y156" s="466"/>
      <c r="Z156" s="466"/>
      <c r="AA156" s="466"/>
    </row>
    <row r="157" spans="1:27" s="189" customFormat="1" ht="79.5" customHeight="1">
      <c r="A157" s="236"/>
      <c r="B157" s="757" t="s">
        <v>460</v>
      </c>
      <c r="C157" s="749"/>
      <c r="D157" s="749"/>
      <c r="E157" s="749"/>
      <c r="F157" s="749"/>
      <c r="G157" s="749"/>
      <c r="H157" s="749"/>
      <c r="I157" s="749"/>
      <c r="J157" s="749"/>
      <c r="K157" s="749"/>
      <c r="L157" s="209" t="s">
        <v>461</v>
      </c>
      <c r="M157" s="188"/>
      <c r="Y157" s="466"/>
      <c r="Z157" s="466"/>
      <c r="AA157" s="466"/>
    </row>
    <row r="158" spans="1:27" s="189" customFormat="1" ht="46.5" customHeight="1">
      <c r="A158" s="202"/>
      <c r="B158" s="749" t="s">
        <v>462</v>
      </c>
      <c r="C158" s="749"/>
      <c r="D158" s="749"/>
      <c r="E158" s="749"/>
      <c r="F158" s="749"/>
      <c r="G158" s="749"/>
      <c r="H158" s="749"/>
      <c r="I158" s="749"/>
      <c r="J158" s="749"/>
      <c r="K158" s="749"/>
      <c r="L158" s="209" t="s">
        <v>461</v>
      </c>
      <c r="Y158" s="466"/>
      <c r="Z158" s="466"/>
      <c r="AA158" s="466"/>
    </row>
    <row r="159" spans="1:27" s="189" customFormat="1" ht="24.75" customHeight="1">
      <c r="A159" s="185" t="s">
        <v>463</v>
      </c>
      <c r="B159" s="186" t="s">
        <v>464</v>
      </c>
      <c r="C159" s="186"/>
      <c r="D159" s="186"/>
      <c r="E159" s="186"/>
      <c r="F159" s="186"/>
      <c r="G159" s="186"/>
      <c r="H159" s="186"/>
      <c r="I159" s="187"/>
      <c r="J159" s="187"/>
      <c r="K159" s="187"/>
      <c r="L159" s="188"/>
      <c r="Y159" s="466"/>
      <c r="Z159" s="466"/>
      <c r="AA159" s="466"/>
    </row>
    <row r="160" spans="1:27" s="189" customFormat="1" ht="19.5" customHeight="1">
      <c r="A160" s="201"/>
      <c r="B160" s="186" t="s">
        <v>465</v>
      </c>
      <c r="C160" s="186"/>
      <c r="D160" s="186"/>
      <c r="E160" s="186"/>
      <c r="F160" s="186"/>
      <c r="G160" s="186"/>
      <c r="H160" s="186"/>
      <c r="I160" s="187"/>
      <c r="J160" s="187"/>
      <c r="K160" s="187"/>
      <c r="L160" s="188" t="s">
        <v>339</v>
      </c>
      <c r="Y160" s="466"/>
      <c r="Z160" s="466"/>
      <c r="AA160" s="466"/>
    </row>
    <row r="161" spans="1:27" s="189" customFormat="1" ht="49.5" customHeight="1" hidden="1">
      <c r="A161" s="202"/>
      <c r="B161" s="747" t="s">
        <v>466</v>
      </c>
      <c r="C161" s="749"/>
      <c r="D161" s="749"/>
      <c r="E161" s="749"/>
      <c r="F161" s="749"/>
      <c r="G161" s="749"/>
      <c r="H161" s="749"/>
      <c r="I161" s="749"/>
      <c r="J161" s="749"/>
      <c r="K161" s="749"/>
      <c r="L161" s="188" t="s">
        <v>339</v>
      </c>
      <c r="M161" s="209" t="s">
        <v>467</v>
      </c>
      <c r="Y161" s="466"/>
      <c r="Z161" s="466"/>
      <c r="AA161" s="466"/>
    </row>
    <row r="162" spans="1:27" s="189" customFormat="1" ht="75" customHeight="1">
      <c r="A162" s="202"/>
      <c r="B162" s="747" t="s">
        <v>468</v>
      </c>
      <c r="C162" s="749"/>
      <c r="D162" s="749"/>
      <c r="E162" s="749"/>
      <c r="F162" s="749"/>
      <c r="G162" s="749"/>
      <c r="H162" s="749"/>
      <c r="I162" s="749"/>
      <c r="J162" s="749"/>
      <c r="K162" s="749"/>
      <c r="L162" s="188" t="s">
        <v>339</v>
      </c>
      <c r="M162" s="209"/>
      <c r="Y162" s="466"/>
      <c r="Z162" s="466"/>
      <c r="AA162" s="466"/>
    </row>
    <row r="163" spans="1:27" s="189" customFormat="1" ht="64.5" customHeight="1" hidden="1">
      <c r="A163" s="202"/>
      <c r="B163" s="747" t="s">
        <v>469</v>
      </c>
      <c r="C163" s="749"/>
      <c r="D163" s="749"/>
      <c r="E163" s="749"/>
      <c r="F163" s="749"/>
      <c r="G163" s="749"/>
      <c r="H163" s="749"/>
      <c r="I163" s="749"/>
      <c r="J163" s="749"/>
      <c r="K163" s="749"/>
      <c r="L163" s="188" t="s">
        <v>339</v>
      </c>
      <c r="M163" s="209"/>
      <c r="Y163" s="466"/>
      <c r="Z163" s="466"/>
      <c r="AA163" s="466"/>
    </row>
    <row r="164" spans="1:27" s="189" customFormat="1" ht="19.5" customHeight="1">
      <c r="A164" s="201"/>
      <c r="B164" s="186" t="s">
        <v>470</v>
      </c>
      <c r="C164" s="186"/>
      <c r="D164" s="186"/>
      <c r="E164" s="186"/>
      <c r="F164" s="186"/>
      <c r="G164" s="186"/>
      <c r="H164" s="186"/>
      <c r="I164" s="187"/>
      <c r="J164" s="187"/>
      <c r="K164" s="187"/>
      <c r="L164" s="188"/>
      <c r="Y164" s="466"/>
      <c r="Z164" s="466"/>
      <c r="AA164" s="466"/>
    </row>
    <row r="165" spans="1:27" s="189" customFormat="1" ht="74.25" customHeight="1">
      <c r="A165" s="202"/>
      <c r="B165" s="757" t="s">
        <v>471</v>
      </c>
      <c r="C165" s="749"/>
      <c r="D165" s="749"/>
      <c r="E165" s="749"/>
      <c r="F165" s="749"/>
      <c r="G165" s="749"/>
      <c r="H165" s="749"/>
      <c r="I165" s="749"/>
      <c r="J165" s="749"/>
      <c r="K165" s="749"/>
      <c r="L165" s="188" t="s">
        <v>339</v>
      </c>
      <c r="M165" s="209"/>
      <c r="Y165" s="466"/>
      <c r="Z165" s="466"/>
      <c r="AA165" s="466"/>
    </row>
    <row r="166" spans="1:27" s="189" customFormat="1" ht="34.5" customHeight="1" hidden="1">
      <c r="A166" s="185"/>
      <c r="B166" s="757" t="s">
        <v>472</v>
      </c>
      <c r="C166" s="749"/>
      <c r="D166" s="749"/>
      <c r="E166" s="749"/>
      <c r="F166" s="749"/>
      <c r="G166" s="749"/>
      <c r="H166" s="749"/>
      <c r="I166" s="749"/>
      <c r="J166" s="749"/>
      <c r="K166" s="749"/>
      <c r="L166" s="188" t="s">
        <v>339</v>
      </c>
      <c r="M166" s="209"/>
      <c r="Y166" s="466"/>
      <c r="Z166" s="466"/>
      <c r="AA166" s="466"/>
    </row>
    <row r="167" spans="1:27" s="189" customFormat="1" ht="24.75" customHeight="1" hidden="1">
      <c r="A167" s="201"/>
      <c r="B167" s="241" t="s">
        <v>473</v>
      </c>
      <c r="C167" s="186"/>
      <c r="D167" s="186"/>
      <c r="E167" s="186"/>
      <c r="F167" s="186"/>
      <c r="G167" s="186"/>
      <c r="H167" s="186"/>
      <c r="I167" s="187"/>
      <c r="J167" s="187"/>
      <c r="K167" s="187"/>
      <c r="L167" s="188"/>
      <c r="Y167" s="466"/>
      <c r="Z167" s="466"/>
      <c r="AA167" s="466"/>
    </row>
    <row r="168" spans="1:27" s="189" customFormat="1" ht="79.5" customHeight="1" hidden="1">
      <c r="A168" s="185"/>
      <c r="B168" s="747" t="s">
        <v>474</v>
      </c>
      <c r="C168" s="747"/>
      <c r="D168" s="747"/>
      <c r="E168" s="747"/>
      <c r="F168" s="747"/>
      <c r="G168" s="747"/>
      <c r="H168" s="747"/>
      <c r="I168" s="747"/>
      <c r="J168" s="747"/>
      <c r="K168" s="747"/>
      <c r="L168" s="188" t="s">
        <v>339</v>
      </c>
      <c r="M168" s="209"/>
      <c r="Y168" s="466"/>
      <c r="Z168" s="466"/>
      <c r="AA168" s="466"/>
    </row>
    <row r="169" spans="1:27" s="189" customFormat="1" ht="19.5" customHeight="1">
      <c r="A169" s="201"/>
      <c r="B169" s="186" t="s">
        <v>475</v>
      </c>
      <c r="C169" s="186"/>
      <c r="D169" s="186"/>
      <c r="E169" s="186"/>
      <c r="F169" s="186"/>
      <c r="G169" s="186"/>
      <c r="H169" s="186"/>
      <c r="I169" s="187"/>
      <c r="J169" s="187"/>
      <c r="K169" s="187"/>
      <c r="L169" s="188"/>
      <c r="Y169" s="466"/>
      <c r="Z169" s="466"/>
      <c r="AA169" s="466"/>
    </row>
    <row r="170" spans="1:27" s="189" customFormat="1" ht="49.5" customHeight="1">
      <c r="A170" s="185"/>
      <c r="B170" s="747" t="s">
        <v>476</v>
      </c>
      <c r="C170" s="747"/>
      <c r="D170" s="747"/>
      <c r="E170" s="747"/>
      <c r="F170" s="747"/>
      <c r="G170" s="747"/>
      <c r="H170" s="747"/>
      <c r="I170" s="747"/>
      <c r="J170" s="747"/>
      <c r="K170" s="747"/>
      <c r="L170" s="188"/>
      <c r="M170" s="209"/>
      <c r="N170" s="188"/>
      <c r="Y170" s="466"/>
      <c r="Z170" s="466"/>
      <c r="AA170" s="466"/>
    </row>
    <row r="171" spans="1:27" s="189" customFormat="1" ht="27.75" customHeight="1">
      <c r="A171" s="185"/>
      <c r="B171" s="208"/>
      <c r="C171" s="208"/>
      <c r="D171" s="208"/>
      <c r="E171" s="208"/>
      <c r="F171" s="208"/>
      <c r="G171" s="208"/>
      <c r="H171" s="208"/>
      <c r="I171" s="208"/>
      <c r="J171" s="208"/>
      <c r="K171" s="208"/>
      <c r="L171" s="188"/>
      <c r="M171" s="209"/>
      <c r="N171" s="188"/>
      <c r="Y171" s="466"/>
      <c r="Z171" s="466"/>
      <c r="AA171" s="466"/>
    </row>
    <row r="172" spans="1:27" s="189" customFormat="1" ht="19.5" customHeight="1">
      <c r="A172" s="201"/>
      <c r="B172" s="186" t="s">
        <v>477</v>
      </c>
      <c r="C172" s="186"/>
      <c r="D172" s="186"/>
      <c r="E172" s="186"/>
      <c r="F172" s="186"/>
      <c r="G172" s="186"/>
      <c r="H172" s="186"/>
      <c r="I172" s="187"/>
      <c r="J172" s="187"/>
      <c r="K172" s="187"/>
      <c r="L172" s="188"/>
      <c r="Y172" s="466"/>
      <c r="Z172" s="466"/>
      <c r="AA172" s="466"/>
    </row>
    <row r="173" spans="1:27" s="189" customFormat="1" ht="64.5" customHeight="1">
      <c r="A173" s="185"/>
      <c r="B173" s="747" t="s">
        <v>478</v>
      </c>
      <c r="C173" s="747"/>
      <c r="D173" s="747"/>
      <c r="E173" s="747"/>
      <c r="F173" s="747"/>
      <c r="G173" s="747"/>
      <c r="H173" s="747"/>
      <c r="I173" s="747"/>
      <c r="J173" s="747"/>
      <c r="K173" s="747"/>
      <c r="L173" s="188" t="s">
        <v>339</v>
      </c>
      <c r="M173" s="209"/>
      <c r="Y173" s="466"/>
      <c r="Z173" s="466"/>
      <c r="AA173" s="466"/>
    </row>
    <row r="174" spans="1:27" s="189" customFormat="1" ht="19.5" customHeight="1">
      <c r="A174" s="185"/>
      <c r="B174" s="758" t="s">
        <v>479</v>
      </c>
      <c r="C174" s="758"/>
      <c r="D174" s="758"/>
      <c r="E174" s="758"/>
      <c r="F174" s="758"/>
      <c r="G174" s="758"/>
      <c r="H174" s="758"/>
      <c r="I174" s="758"/>
      <c r="J174" s="758"/>
      <c r="K174" s="758"/>
      <c r="L174" s="188" t="s">
        <v>339</v>
      </c>
      <c r="M174" s="209"/>
      <c r="Y174" s="466"/>
      <c r="Z174" s="466"/>
      <c r="AA174" s="466"/>
    </row>
    <row r="175" spans="1:27" s="189" customFormat="1" ht="24.75" customHeight="1">
      <c r="A175" s="185" t="s">
        <v>480</v>
      </c>
      <c r="B175" s="186" t="s">
        <v>481</v>
      </c>
      <c r="C175" s="186"/>
      <c r="D175" s="186"/>
      <c r="E175" s="186"/>
      <c r="F175" s="186"/>
      <c r="G175" s="186"/>
      <c r="H175" s="186"/>
      <c r="I175" s="187"/>
      <c r="J175" s="187"/>
      <c r="K175" s="187"/>
      <c r="L175" s="188"/>
      <c r="Y175" s="466"/>
      <c r="Z175" s="466"/>
      <c r="AA175" s="466"/>
    </row>
    <row r="176" spans="1:27" s="189" customFormat="1" ht="24.75" customHeight="1">
      <c r="A176" s="236"/>
      <c r="B176" s="186" t="s">
        <v>482</v>
      </c>
      <c r="C176" s="186"/>
      <c r="D176" s="186"/>
      <c r="E176" s="186"/>
      <c r="F176" s="186"/>
      <c r="G176" s="186"/>
      <c r="H176" s="186"/>
      <c r="I176" s="187"/>
      <c r="J176" s="187"/>
      <c r="K176" s="187"/>
      <c r="L176" s="188"/>
      <c r="Y176" s="466"/>
      <c r="Z176" s="466"/>
      <c r="AA176" s="466"/>
    </row>
    <row r="177" spans="1:27" s="189" customFormat="1" ht="74.25" customHeight="1">
      <c r="A177" s="202"/>
      <c r="B177" s="747" t="s">
        <v>483</v>
      </c>
      <c r="C177" s="747"/>
      <c r="D177" s="747"/>
      <c r="E177" s="747"/>
      <c r="F177" s="747"/>
      <c r="G177" s="747"/>
      <c r="H177" s="747"/>
      <c r="I177" s="747"/>
      <c r="J177" s="747"/>
      <c r="K177" s="747"/>
      <c r="L177" s="209" t="s">
        <v>484</v>
      </c>
      <c r="Y177" s="466"/>
      <c r="Z177" s="466"/>
      <c r="AA177" s="466"/>
    </row>
    <row r="178" spans="1:27" s="189" customFormat="1" ht="24" customHeight="1">
      <c r="A178" s="202"/>
      <c r="B178" s="208"/>
      <c r="C178" s="208"/>
      <c r="D178" s="208"/>
      <c r="E178" s="208"/>
      <c r="F178" s="208"/>
      <c r="G178" s="208"/>
      <c r="H178" s="208"/>
      <c r="I178" s="208"/>
      <c r="J178" s="208"/>
      <c r="K178" s="208"/>
      <c r="L178" s="209"/>
      <c r="Y178" s="466"/>
      <c r="Z178" s="466"/>
      <c r="AA178" s="466"/>
    </row>
    <row r="179" spans="1:27" s="189" customFormat="1" ht="24.75" customHeight="1">
      <c r="A179" s="236"/>
      <c r="B179" s="186" t="s">
        <v>485</v>
      </c>
      <c r="C179" s="186"/>
      <c r="D179" s="186"/>
      <c r="E179" s="186"/>
      <c r="F179" s="186"/>
      <c r="G179" s="186"/>
      <c r="H179" s="186"/>
      <c r="I179" s="187"/>
      <c r="J179" s="187"/>
      <c r="K179" s="187"/>
      <c r="L179" s="188"/>
      <c r="Y179" s="466"/>
      <c r="Z179" s="466"/>
      <c r="AA179" s="466"/>
    </row>
    <row r="180" spans="1:27" s="189" customFormat="1" ht="103.5" customHeight="1">
      <c r="A180" s="202"/>
      <c r="B180" s="747" t="s">
        <v>486</v>
      </c>
      <c r="C180" s="747"/>
      <c r="D180" s="747"/>
      <c r="E180" s="747"/>
      <c r="F180" s="747"/>
      <c r="G180" s="747"/>
      <c r="H180" s="747"/>
      <c r="I180" s="747"/>
      <c r="J180" s="747"/>
      <c r="K180" s="747"/>
      <c r="L180" s="209" t="s">
        <v>487</v>
      </c>
      <c r="Y180" s="466"/>
      <c r="Z180" s="466"/>
      <c r="AA180" s="466"/>
    </row>
    <row r="181" spans="1:27" s="189" customFormat="1" ht="36" customHeight="1">
      <c r="A181" s="202"/>
      <c r="B181" s="747" t="s">
        <v>488</v>
      </c>
      <c r="C181" s="747"/>
      <c r="D181" s="747"/>
      <c r="E181" s="747"/>
      <c r="F181" s="747"/>
      <c r="G181" s="747"/>
      <c r="H181" s="747"/>
      <c r="I181" s="747"/>
      <c r="J181" s="747"/>
      <c r="K181" s="747"/>
      <c r="L181" s="209"/>
      <c r="Y181" s="466"/>
      <c r="Z181" s="466"/>
      <c r="AA181" s="466"/>
    </row>
    <row r="182" spans="1:27" s="189" customFormat="1" ht="24.75" customHeight="1">
      <c r="A182" s="236"/>
      <c r="B182" s="186" t="s">
        <v>489</v>
      </c>
      <c r="C182" s="186"/>
      <c r="D182" s="186"/>
      <c r="E182" s="186"/>
      <c r="F182" s="186"/>
      <c r="G182" s="186"/>
      <c r="H182" s="186"/>
      <c r="I182" s="187"/>
      <c r="J182" s="187"/>
      <c r="K182" s="187"/>
      <c r="L182" s="188"/>
      <c r="Y182" s="466"/>
      <c r="Z182" s="466"/>
      <c r="AA182" s="466"/>
    </row>
    <row r="183" spans="1:27" s="189" customFormat="1" ht="51.75" customHeight="1">
      <c r="A183" s="185"/>
      <c r="B183" s="747" t="s">
        <v>490</v>
      </c>
      <c r="C183" s="747"/>
      <c r="D183" s="747"/>
      <c r="E183" s="747"/>
      <c r="F183" s="747"/>
      <c r="G183" s="747"/>
      <c r="H183" s="747"/>
      <c r="I183" s="747"/>
      <c r="J183" s="747"/>
      <c r="K183" s="747"/>
      <c r="L183" s="209"/>
      <c r="Y183" s="466"/>
      <c r="Z183" s="466"/>
      <c r="AA183" s="466"/>
    </row>
    <row r="184" spans="1:27" s="189" customFormat="1" ht="49.5" customHeight="1">
      <c r="A184" s="185"/>
      <c r="B184" s="747" t="s">
        <v>491</v>
      </c>
      <c r="C184" s="747"/>
      <c r="D184" s="747"/>
      <c r="E184" s="747"/>
      <c r="F184" s="747"/>
      <c r="G184" s="747"/>
      <c r="H184" s="747"/>
      <c r="I184" s="747"/>
      <c r="J184" s="747"/>
      <c r="K184" s="747"/>
      <c r="L184" s="209" t="s">
        <v>492</v>
      </c>
      <c r="Y184" s="466"/>
      <c r="Z184" s="466"/>
      <c r="AA184" s="466"/>
    </row>
    <row r="185" spans="1:27" s="189" customFormat="1" ht="16.5" customHeight="1">
      <c r="A185" s="185"/>
      <c r="B185" s="759" t="s">
        <v>493</v>
      </c>
      <c r="C185" s="758"/>
      <c r="D185" s="758"/>
      <c r="E185" s="758"/>
      <c r="F185" s="758"/>
      <c r="G185" s="758"/>
      <c r="H185" s="758"/>
      <c r="I185" s="758"/>
      <c r="J185" s="758"/>
      <c r="K185" s="758"/>
      <c r="L185" s="209" t="s">
        <v>494</v>
      </c>
      <c r="Y185" s="466"/>
      <c r="Z185" s="466"/>
      <c r="AA185" s="466"/>
    </row>
    <row r="186" spans="1:27" s="189" customFormat="1" ht="16.5" customHeight="1" hidden="1">
      <c r="A186" s="185"/>
      <c r="B186" s="759" t="s">
        <v>495</v>
      </c>
      <c r="C186" s="758"/>
      <c r="D186" s="758"/>
      <c r="E186" s="758"/>
      <c r="F186" s="758"/>
      <c r="G186" s="758"/>
      <c r="H186" s="758"/>
      <c r="I186" s="758"/>
      <c r="J186" s="758"/>
      <c r="K186" s="758"/>
      <c r="L186" s="209" t="s">
        <v>494</v>
      </c>
      <c r="Y186" s="466"/>
      <c r="Z186" s="466"/>
      <c r="AA186" s="466"/>
    </row>
    <row r="187" spans="1:27" s="189" customFormat="1" ht="33.75" customHeight="1">
      <c r="A187" s="185"/>
      <c r="B187" s="747" t="s">
        <v>496</v>
      </c>
      <c r="C187" s="747"/>
      <c r="D187" s="747"/>
      <c r="E187" s="747"/>
      <c r="F187" s="747"/>
      <c r="G187" s="747"/>
      <c r="H187" s="747"/>
      <c r="I187" s="747"/>
      <c r="J187" s="747"/>
      <c r="K187" s="747"/>
      <c r="L187" s="209" t="s">
        <v>494</v>
      </c>
      <c r="Y187" s="466"/>
      <c r="Z187" s="466"/>
      <c r="AA187" s="466"/>
    </row>
    <row r="188" spans="1:27" s="189" customFormat="1" ht="49.5" customHeight="1">
      <c r="A188" s="185"/>
      <c r="B188" s="747" t="s">
        <v>497</v>
      </c>
      <c r="C188" s="747"/>
      <c r="D188" s="747"/>
      <c r="E188" s="747"/>
      <c r="F188" s="747"/>
      <c r="G188" s="747"/>
      <c r="H188" s="747"/>
      <c r="I188" s="747"/>
      <c r="J188" s="747"/>
      <c r="K188" s="747"/>
      <c r="L188" s="209" t="s">
        <v>498</v>
      </c>
      <c r="Y188" s="466"/>
      <c r="Z188" s="466"/>
      <c r="AA188" s="466"/>
    </row>
    <row r="189" spans="1:27" s="189" customFormat="1" ht="24.75" customHeight="1" hidden="1">
      <c r="A189" s="236"/>
      <c r="B189" s="186" t="s">
        <v>499</v>
      </c>
      <c r="C189" s="186"/>
      <c r="D189" s="186"/>
      <c r="E189" s="186"/>
      <c r="F189" s="186"/>
      <c r="G189" s="186"/>
      <c r="H189" s="186"/>
      <c r="I189" s="187"/>
      <c r="J189" s="187"/>
      <c r="K189" s="187"/>
      <c r="L189" s="188"/>
      <c r="Y189" s="466"/>
      <c r="Z189" s="466"/>
      <c r="AA189" s="466"/>
    </row>
    <row r="190" spans="1:27" s="189" customFormat="1" ht="109.5" customHeight="1" hidden="1">
      <c r="A190" s="236"/>
      <c r="B190" s="749" t="s">
        <v>500</v>
      </c>
      <c r="C190" s="747"/>
      <c r="D190" s="747"/>
      <c r="E190" s="747"/>
      <c r="F190" s="747"/>
      <c r="G190" s="747"/>
      <c r="H190" s="747"/>
      <c r="I190" s="747"/>
      <c r="J190" s="747"/>
      <c r="K190" s="747"/>
      <c r="L190" s="209" t="s">
        <v>501</v>
      </c>
      <c r="Y190" s="466"/>
      <c r="Z190" s="466"/>
      <c r="AA190" s="466"/>
    </row>
    <row r="191" spans="1:27" s="189" customFormat="1" ht="24.75" customHeight="1" hidden="1">
      <c r="A191" s="236"/>
      <c r="B191" s="760" t="s">
        <v>502</v>
      </c>
      <c r="C191" s="760"/>
      <c r="D191" s="760"/>
      <c r="E191" s="760"/>
      <c r="F191" s="760"/>
      <c r="G191" s="760"/>
      <c r="H191" s="760"/>
      <c r="I191" s="760"/>
      <c r="J191" s="760"/>
      <c r="K191" s="760"/>
      <c r="L191" s="209" t="s">
        <v>503</v>
      </c>
      <c r="Y191" s="466"/>
      <c r="Z191" s="466"/>
      <c r="AA191" s="466"/>
    </row>
    <row r="192" spans="1:27" s="189" customFormat="1" ht="78.75" customHeight="1" hidden="1">
      <c r="A192" s="236"/>
      <c r="B192" s="757" t="s">
        <v>504</v>
      </c>
      <c r="C192" s="747"/>
      <c r="D192" s="747"/>
      <c r="E192" s="747"/>
      <c r="F192" s="747"/>
      <c r="G192" s="747"/>
      <c r="H192" s="747"/>
      <c r="I192" s="747"/>
      <c r="J192" s="747"/>
      <c r="K192" s="747"/>
      <c r="L192" s="209" t="s">
        <v>505</v>
      </c>
      <c r="Y192" s="466"/>
      <c r="Z192" s="466"/>
      <c r="AA192" s="466"/>
    </row>
    <row r="193" spans="1:27" s="189" customFormat="1" ht="63.75" customHeight="1" hidden="1">
      <c r="A193" s="236"/>
      <c r="B193" s="757" t="s">
        <v>506</v>
      </c>
      <c r="C193" s="747"/>
      <c r="D193" s="747"/>
      <c r="E193" s="747"/>
      <c r="F193" s="747"/>
      <c r="G193" s="747"/>
      <c r="H193" s="747"/>
      <c r="I193" s="747"/>
      <c r="J193" s="747"/>
      <c r="K193" s="747"/>
      <c r="L193" s="209" t="s">
        <v>505</v>
      </c>
      <c r="Y193" s="466"/>
      <c r="Z193" s="466"/>
      <c r="AA193" s="466"/>
    </row>
    <row r="194" spans="1:27" s="189" customFormat="1" ht="15" customHeight="1" hidden="1">
      <c r="A194" s="236"/>
      <c r="B194" s="747" t="s">
        <v>507</v>
      </c>
      <c r="C194" s="747"/>
      <c r="D194" s="747"/>
      <c r="E194" s="747"/>
      <c r="F194" s="747"/>
      <c r="G194" s="747"/>
      <c r="H194" s="747"/>
      <c r="I194" s="747"/>
      <c r="J194" s="747"/>
      <c r="K194" s="747"/>
      <c r="L194" s="209"/>
      <c r="Y194" s="466"/>
      <c r="Z194" s="466"/>
      <c r="AA194" s="466"/>
    </row>
    <row r="195" spans="1:27" s="189" customFormat="1" ht="12.75" customHeight="1" hidden="1">
      <c r="A195" s="236"/>
      <c r="B195" s="747" t="s">
        <v>508</v>
      </c>
      <c r="C195" s="747"/>
      <c r="D195" s="747"/>
      <c r="E195" s="747"/>
      <c r="F195" s="747"/>
      <c r="G195" s="747"/>
      <c r="H195" s="747"/>
      <c r="I195" s="747"/>
      <c r="J195" s="747"/>
      <c r="K195" s="747"/>
      <c r="L195" s="209"/>
      <c r="Y195" s="466"/>
      <c r="Z195" s="466"/>
      <c r="AA195" s="466"/>
    </row>
    <row r="196" spans="1:27" s="189" customFormat="1" ht="24.75" customHeight="1">
      <c r="A196" s="185" t="s">
        <v>509</v>
      </c>
      <c r="B196" s="186" t="s">
        <v>510</v>
      </c>
      <c r="C196" s="186"/>
      <c r="D196" s="186"/>
      <c r="E196" s="186"/>
      <c r="F196" s="186"/>
      <c r="G196" s="186"/>
      <c r="H196" s="186"/>
      <c r="I196" s="187"/>
      <c r="J196" s="187"/>
      <c r="K196" s="187"/>
      <c r="L196" s="188"/>
      <c r="Y196" s="466"/>
      <c r="Z196" s="466"/>
      <c r="AA196" s="466"/>
    </row>
    <row r="197" spans="1:27" s="189" customFormat="1" ht="64.5" customHeight="1">
      <c r="A197" s="236"/>
      <c r="B197" s="749" t="s">
        <v>511</v>
      </c>
      <c r="C197" s="749"/>
      <c r="D197" s="749"/>
      <c r="E197" s="749"/>
      <c r="F197" s="749"/>
      <c r="G197" s="749"/>
      <c r="H197" s="749"/>
      <c r="I197" s="749"/>
      <c r="J197" s="749"/>
      <c r="K197" s="749"/>
      <c r="L197" s="209" t="s">
        <v>339</v>
      </c>
      <c r="Y197" s="466"/>
      <c r="Z197" s="466"/>
      <c r="AA197" s="466"/>
    </row>
    <row r="198" spans="1:27" s="189" customFormat="1" ht="34.5" customHeight="1">
      <c r="A198" s="236"/>
      <c r="B198" s="747" t="s">
        <v>512</v>
      </c>
      <c r="C198" s="747"/>
      <c r="D198" s="747"/>
      <c r="E198" s="747"/>
      <c r="F198" s="747"/>
      <c r="G198" s="747"/>
      <c r="H198" s="747"/>
      <c r="I198" s="747"/>
      <c r="J198" s="747"/>
      <c r="K198" s="747"/>
      <c r="L198" s="188"/>
      <c r="Y198" s="466"/>
      <c r="Z198" s="466"/>
      <c r="AA198" s="466"/>
    </row>
    <row r="199" spans="1:27" s="189" customFormat="1" ht="24.75" customHeight="1">
      <c r="A199" s="185" t="s">
        <v>513</v>
      </c>
      <c r="B199" s="186" t="s">
        <v>514</v>
      </c>
      <c r="C199" s="186"/>
      <c r="D199" s="186"/>
      <c r="E199" s="186"/>
      <c r="F199" s="186"/>
      <c r="G199" s="186"/>
      <c r="H199" s="186"/>
      <c r="I199" s="187"/>
      <c r="J199" s="187"/>
      <c r="K199" s="187"/>
      <c r="L199" s="188"/>
      <c r="Y199" s="466"/>
      <c r="Z199" s="466"/>
      <c r="AA199" s="466"/>
    </row>
    <row r="200" spans="1:27" s="189" customFormat="1" ht="36" customHeight="1">
      <c r="A200" s="236"/>
      <c r="B200" s="747" t="s">
        <v>515</v>
      </c>
      <c r="C200" s="747"/>
      <c r="D200" s="747"/>
      <c r="E200" s="747"/>
      <c r="F200" s="747"/>
      <c r="G200" s="747"/>
      <c r="H200" s="747"/>
      <c r="I200" s="747"/>
      <c r="J200" s="747"/>
      <c r="K200" s="747"/>
      <c r="L200" s="209" t="s">
        <v>516</v>
      </c>
      <c r="Y200" s="466"/>
      <c r="Z200" s="466"/>
      <c r="AA200" s="466"/>
    </row>
    <row r="201" spans="1:27" s="189" customFormat="1" ht="49.5" customHeight="1">
      <c r="A201" s="236"/>
      <c r="B201" s="747" t="s">
        <v>517</v>
      </c>
      <c r="C201" s="747"/>
      <c r="D201" s="747"/>
      <c r="E201" s="747"/>
      <c r="F201" s="747"/>
      <c r="G201" s="747"/>
      <c r="H201" s="747"/>
      <c r="I201" s="747"/>
      <c r="J201" s="747"/>
      <c r="K201" s="747"/>
      <c r="L201" s="209" t="s">
        <v>516</v>
      </c>
      <c r="Y201" s="466"/>
      <c r="Z201" s="466"/>
      <c r="AA201" s="466"/>
    </row>
    <row r="202" spans="1:27" s="189" customFormat="1" ht="79.5" customHeight="1">
      <c r="A202" s="236"/>
      <c r="B202" s="747" t="s">
        <v>518</v>
      </c>
      <c r="C202" s="747"/>
      <c r="D202" s="747"/>
      <c r="E202" s="747"/>
      <c r="F202" s="747"/>
      <c r="G202" s="747"/>
      <c r="H202" s="747"/>
      <c r="I202" s="747"/>
      <c r="J202" s="747"/>
      <c r="K202" s="747"/>
      <c r="L202" s="209"/>
      <c r="Y202" s="466"/>
      <c r="Z202" s="466"/>
      <c r="AA202" s="466"/>
    </row>
    <row r="203" spans="1:27" s="189" customFormat="1" ht="96" customHeight="1" hidden="1">
      <c r="A203" s="236"/>
      <c r="B203" s="747" t="s">
        <v>519</v>
      </c>
      <c r="C203" s="747"/>
      <c r="D203" s="747"/>
      <c r="E203" s="747"/>
      <c r="F203" s="747"/>
      <c r="G203" s="747"/>
      <c r="H203" s="747"/>
      <c r="I203" s="747"/>
      <c r="J203" s="747"/>
      <c r="K203" s="747"/>
      <c r="L203" s="209"/>
      <c r="Y203" s="466"/>
      <c r="Z203" s="466"/>
      <c r="AA203" s="466"/>
    </row>
    <row r="204" spans="1:27" s="189" customFormat="1" ht="49.5" customHeight="1" hidden="1">
      <c r="A204" s="236"/>
      <c r="B204" s="747" t="s">
        <v>520</v>
      </c>
      <c r="C204" s="747"/>
      <c r="D204" s="747"/>
      <c r="E204" s="747"/>
      <c r="F204" s="747"/>
      <c r="G204" s="747"/>
      <c r="H204" s="747"/>
      <c r="I204" s="747"/>
      <c r="J204" s="747"/>
      <c r="K204" s="747"/>
      <c r="L204" s="209"/>
      <c r="Y204" s="466"/>
      <c r="Z204" s="466"/>
      <c r="AA204" s="466"/>
    </row>
    <row r="205" spans="1:27" s="189" customFormat="1" ht="79.5" customHeight="1" hidden="1">
      <c r="A205" s="236"/>
      <c r="B205" s="747" t="s">
        <v>521</v>
      </c>
      <c r="C205" s="747"/>
      <c r="D205" s="747"/>
      <c r="E205" s="747"/>
      <c r="F205" s="747"/>
      <c r="G205" s="747"/>
      <c r="H205" s="747"/>
      <c r="I205" s="747"/>
      <c r="J205" s="747"/>
      <c r="K205" s="747"/>
      <c r="L205" s="209"/>
      <c r="Y205" s="466"/>
      <c r="Z205" s="466"/>
      <c r="AA205" s="466"/>
    </row>
    <row r="206" spans="1:27" s="189" customFormat="1" ht="60" customHeight="1">
      <c r="A206" s="236"/>
      <c r="B206" s="747" t="s">
        <v>522</v>
      </c>
      <c r="C206" s="747"/>
      <c r="D206" s="747"/>
      <c r="E206" s="747"/>
      <c r="F206" s="747"/>
      <c r="G206" s="747"/>
      <c r="H206" s="747"/>
      <c r="I206" s="747"/>
      <c r="J206" s="747"/>
      <c r="K206" s="747"/>
      <c r="L206" s="209"/>
      <c r="Y206" s="466"/>
      <c r="Z206" s="466"/>
      <c r="AA206" s="466"/>
    </row>
    <row r="207" spans="1:27" s="189" customFormat="1" ht="21" customHeight="1">
      <c r="A207" s="236"/>
      <c r="B207" s="747" t="s">
        <v>523</v>
      </c>
      <c r="C207" s="747"/>
      <c r="D207" s="747"/>
      <c r="E207" s="747"/>
      <c r="F207" s="747"/>
      <c r="G207" s="747"/>
      <c r="H207" s="747"/>
      <c r="I207" s="747"/>
      <c r="J207" s="747"/>
      <c r="K207" s="747"/>
      <c r="L207" s="209"/>
      <c r="Y207" s="466"/>
      <c r="Z207" s="466"/>
      <c r="AA207" s="466"/>
    </row>
    <row r="208" spans="1:27" s="189" customFormat="1" ht="49.5" customHeight="1">
      <c r="A208" s="236"/>
      <c r="B208" s="761" t="s">
        <v>524</v>
      </c>
      <c r="C208" s="761"/>
      <c r="D208" s="761"/>
      <c r="E208" s="761"/>
      <c r="F208" s="761"/>
      <c r="G208" s="761"/>
      <c r="H208" s="761"/>
      <c r="I208" s="761"/>
      <c r="J208" s="761"/>
      <c r="K208" s="761"/>
      <c r="L208" s="209"/>
      <c r="Y208" s="466"/>
      <c r="Z208" s="466"/>
      <c r="AA208" s="466"/>
    </row>
    <row r="209" spans="1:27" s="189" customFormat="1" ht="24.75" customHeight="1">
      <c r="A209" s="185" t="s">
        <v>525</v>
      </c>
      <c r="B209" s="186" t="s">
        <v>526</v>
      </c>
      <c r="C209" s="186"/>
      <c r="D209" s="186"/>
      <c r="E209" s="186"/>
      <c r="F209" s="186"/>
      <c r="G209" s="186"/>
      <c r="H209" s="186"/>
      <c r="I209" s="187"/>
      <c r="J209" s="187"/>
      <c r="K209" s="187"/>
      <c r="L209" s="188"/>
      <c r="Y209" s="466"/>
      <c r="Z209" s="466"/>
      <c r="AA209" s="466"/>
    </row>
    <row r="210" spans="1:27" s="189" customFormat="1" ht="91.5" customHeight="1">
      <c r="A210" s="201"/>
      <c r="B210" s="747" t="s">
        <v>527</v>
      </c>
      <c r="C210" s="747"/>
      <c r="D210" s="747"/>
      <c r="E210" s="747"/>
      <c r="F210" s="747"/>
      <c r="G210" s="747"/>
      <c r="H210" s="747"/>
      <c r="I210" s="747"/>
      <c r="J210" s="747"/>
      <c r="K210" s="747"/>
      <c r="L210" s="188"/>
      <c r="Y210" s="466"/>
      <c r="Z210" s="466"/>
      <c r="AA210" s="466"/>
    </row>
    <row r="211" spans="1:27" s="189" customFormat="1" ht="20.25" customHeight="1">
      <c r="A211" s="201"/>
      <c r="B211" s="747" t="s">
        <v>528</v>
      </c>
      <c r="C211" s="747"/>
      <c r="D211" s="747"/>
      <c r="E211" s="747"/>
      <c r="F211" s="747"/>
      <c r="G211" s="747"/>
      <c r="H211" s="747"/>
      <c r="I211" s="747"/>
      <c r="J211" s="747"/>
      <c r="K211" s="747"/>
      <c r="L211" s="188"/>
      <c r="Y211" s="466"/>
      <c r="Z211" s="466"/>
      <c r="AA211" s="466"/>
    </row>
    <row r="212" spans="1:27" s="189" customFormat="1" ht="63.75" customHeight="1">
      <c r="A212" s="201"/>
      <c r="B212" s="747" t="s">
        <v>1054</v>
      </c>
      <c r="C212" s="747"/>
      <c r="D212" s="747"/>
      <c r="E212" s="747"/>
      <c r="F212" s="747"/>
      <c r="G212" s="747"/>
      <c r="H212" s="747"/>
      <c r="I212" s="747"/>
      <c r="J212" s="747"/>
      <c r="K212" s="747"/>
      <c r="L212" s="188"/>
      <c r="Y212" s="466"/>
      <c r="Z212" s="466"/>
      <c r="AA212" s="466"/>
    </row>
    <row r="213" spans="1:27" s="189" customFormat="1" ht="19.5" customHeight="1" hidden="1">
      <c r="A213" s="201"/>
      <c r="B213" s="220" t="s">
        <v>529</v>
      </c>
      <c r="C213" s="217"/>
      <c r="D213" s="208"/>
      <c r="E213" s="208"/>
      <c r="F213" s="208"/>
      <c r="G213" s="208"/>
      <c r="H213" s="208"/>
      <c r="I213" s="208"/>
      <c r="J213" s="208"/>
      <c r="K213" s="208"/>
      <c r="L213" s="188" t="s">
        <v>530</v>
      </c>
      <c r="Y213" s="466"/>
      <c r="Z213" s="466"/>
      <c r="AA213" s="466"/>
    </row>
    <row r="214" spans="1:27" s="189" customFormat="1" ht="16.5" customHeight="1" hidden="1">
      <c r="A214" s="201"/>
      <c r="B214" s="747" t="s">
        <v>531</v>
      </c>
      <c r="C214" s="747"/>
      <c r="D214" s="747"/>
      <c r="E214" s="747"/>
      <c r="F214" s="747"/>
      <c r="G214" s="747"/>
      <c r="H214" s="747"/>
      <c r="I214" s="747"/>
      <c r="J214" s="747"/>
      <c r="K214" s="747"/>
      <c r="L214" s="188"/>
      <c r="Y214" s="466"/>
      <c r="Z214" s="466"/>
      <c r="AA214" s="466"/>
    </row>
    <row r="215" spans="1:27" s="189" customFormat="1" ht="75" customHeight="1">
      <c r="A215" s="201"/>
      <c r="B215" s="747" t="s">
        <v>532</v>
      </c>
      <c r="C215" s="747"/>
      <c r="D215" s="747"/>
      <c r="E215" s="747"/>
      <c r="F215" s="747"/>
      <c r="G215" s="747"/>
      <c r="H215" s="747"/>
      <c r="I215" s="747"/>
      <c r="J215" s="747"/>
      <c r="K215" s="747"/>
      <c r="L215" s="188"/>
      <c r="Y215" s="466"/>
      <c r="Z215" s="466"/>
      <c r="AA215" s="466"/>
    </row>
    <row r="216" spans="1:27" s="189" customFormat="1" ht="36" customHeight="1" hidden="1">
      <c r="A216" s="201"/>
      <c r="B216" s="747" t="s">
        <v>533</v>
      </c>
      <c r="C216" s="747"/>
      <c r="D216" s="747"/>
      <c r="E216" s="747"/>
      <c r="F216" s="747"/>
      <c r="G216" s="747"/>
      <c r="H216" s="747"/>
      <c r="I216" s="747"/>
      <c r="J216" s="747"/>
      <c r="K216" s="747"/>
      <c r="L216" s="188"/>
      <c r="Y216" s="466"/>
      <c r="Z216" s="466"/>
      <c r="AA216" s="466"/>
    </row>
    <row r="217" spans="1:27" s="189" customFormat="1" ht="25.5" customHeight="1" hidden="1">
      <c r="A217" s="201"/>
      <c r="B217" s="243"/>
      <c r="C217" s="244" t="s">
        <v>534</v>
      </c>
      <c r="D217" s="244"/>
      <c r="E217" s="245" t="s">
        <v>535</v>
      </c>
      <c r="F217" s="244"/>
      <c r="G217" s="244"/>
      <c r="H217" s="244"/>
      <c r="I217" s="245" t="s">
        <v>536</v>
      </c>
      <c r="J217" s="244"/>
      <c r="K217" s="244"/>
      <c r="Y217" s="466"/>
      <c r="Z217" s="466"/>
      <c r="AA217" s="466"/>
    </row>
    <row r="218" spans="1:27" s="189" customFormat="1" ht="80.25" customHeight="1" hidden="1">
      <c r="A218" s="201"/>
      <c r="B218" s="243"/>
      <c r="C218" s="246" t="s">
        <v>537</v>
      </c>
      <c r="D218" s="247"/>
      <c r="E218" s="762" t="s">
        <v>538</v>
      </c>
      <c r="F218" s="762"/>
      <c r="G218" s="762"/>
      <c r="H218" s="247"/>
      <c r="I218" s="762" t="s">
        <v>539</v>
      </c>
      <c r="J218" s="762"/>
      <c r="K218" s="762"/>
      <c r="Y218" s="466"/>
      <c r="Z218" s="466"/>
      <c r="AA218" s="466"/>
    </row>
    <row r="219" spans="1:27" s="189" customFormat="1" ht="63.75" customHeight="1" hidden="1">
      <c r="A219" s="201"/>
      <c r="B219" s="243"/>
      <c r="C219" s="246" t="s">
        <v>540</v>
      </c>
      <c r="D219" s="247"/>
      <c r="E219" s="762" t="s">
        <v>539</v>
      </c>
      <c r="F219" s="762"/>
      <c r="G219" s="762"/>
      <c r="H219" s="247"/>
      <c r="I219" s="762" t="s">
        <v>539</v>
      </c>
      <c r="J219" s="762"/>
      <c r="K219" s="762"/>
      <c r="Y219" s="466"/>
      <c r="Z219" s="466"/>
      <c r="AA219" s="466"/>
    </row>
    <row r="220" spans="1:27" s="189" customFormat="1" ht="213" customHeight="1" hidden="1">
      <c r="A220" s="201"/>
      <c r="B220" s="243"/>
      <c r="C220" s="208"/>
      <c r="D220" s="208"/>
      <c r="E220" s="762" t="s">
        <v>541</v>
      </c>
      <c r="F220" s="762"/>
      <c r="G220" s="762"/>
      <c r="H220" s="208"/>
      <c r="L220" s="188"/>
      <c r="Y220" s="466"/>
      <c r="Z220" s="466"/>
      <c r="AA220" s="466"/>
    </row>
    <row r="221" spans="1:27" s="189" customFormat="1" ht="36" customHeight="1" hidden="1">
      <c r="A221" s="201"/>
      <c r="B221" s="243"/>
      <c r="C221" s="747" t="s">
        <v>542</v>
      </c>
      <c r="D221" s="747"/>
      <c r="E221" s="747"/>
      <c r="F221" s="747"/>
      <c r="G221" s="747"/>
      <c r="H221" s="747"/>
      <c r="I221" s="747"/>
      <c r="J221" s="747"/>
      <c r="K221" s="747"/>
      <c r="L221" s="188" t="s">
        <v>543</v>
      </c>
      <c r="Y221" s="466"/>
      <c r="Z221" s="466"/>
      <c r="AA221" s="466"/>
    </row>
    <row r="222" spans="1:27" s="189" customFormat="1" ht="25.5" customHeight="1" hidden="1">
      <c r="A222" s="201"/>
      <c r="B222" s="220" t="s">
        <v>544</v>
      </c>
      <c r="C222" s="217"/>
      <c r="D222" s="208"/>
      <c r="E222" s="208"/>
      <c r="F222" s="208"/>
      <c r="G222" s="208"/>
      <c r="H222" s="208"/>
      <c r="I222" s="208"/>
      <c r="J222" s="208"/>
      <c r="K222" s="208"/>
      <c r="L222" s="188" t="s">
        <v>545</v>
      </c>
      <c r="Y222" s="466"/>
      <c r="Z222" s="466"/>
      <c r="AA222" s="466"/>
    </row>
    <row r="223" spans="1:27" s="189" customFormat="1" ht="25.5" customHeight="1" hidden="1">
      <c r="A223" s="201"/>
      <c r="B223" s="747" t="s">
        <v>546</v>
      </c>
      <c r="C223" s="747"/>
      <c r="D223" s="747"/>
      <c r="E223" s="747"/>
      <c r="F223" s="747"/>
      <c r="G223" s="747"/>
      <c r="H223" s="747"/>
      <c r="I223" s="747"/>
      <c r="J223" s="747"/>
      <c r="K223" s="747"/>
      <c r="L223" s="188"/>
      <c r="Y223" s="466"/>
      <c r="Z223" s="466"/>
      <c r="AA223" s="466"/>
    </row>
    <row r="224" spans="1:27" s="189" customFormat="1" ht="36" customHeight="1" hidden="1">
      <c r="A224" s="201"/>
      <c r="B224" s="747" t="s">
        <v>547</v>
      </c>
      <c r="C224" s="747"/>
      <c r="D224" s="747"/>
      <c r="E224" s="747"/>
      <c r="F224" s="747"/>
      <c r="G224" s="747"/>
      <c r="H224" s="747"/>
      <c r="I224" s="747"/>
      <c r="J224" s="747"/>
      <c r="K224" s="747"/>
      <c r="L224" s="188"/>
      <c r="Y224" s="466"/>
      <c r="Z224" s="466"/>
      <c r="AA224" s="466"/>
    </row>
    <row r="225" spans="1:27" s="189" customFormat="1" ht="50.25" customHeight="1" hidden="1">
      <c r="A225" s="201"/>
      <c r="B225" s="747" t="s">
        <v>548</v>
      </c>
      <c r="C225" s="747"/>
      <c r="D225" s="747"/>
      <c r="E225" s="747"/>
      <c r="F225" s="747"/>
      <c r="G225" s="747"/>
      <c r="H225" s="747"/>
      <c r="I225" s="747"/>
      <c r="J225" s="747"/>
      <c r="K225" s="747"/>
      <c r="L225" s="188"/>
      <c r="Y225" s="466"/>
      <c r="Z225" s="466"/>
      <c r="AA225" s="466"/>
    </row>
    <row r="226" spans="1:27" s="245" customFormat="1" ht="25.5" customHeight="1" hidden="1">
      <c r="A226" s="221"/>
      <c r="B226" s="244"/>
      <c r="C226" s="244" t="s">
        <v>534</v>
      </c>
      <c r="D226" s="244"/>
      <c r="E226" s="245" t="s">
        <v>536</v>
      </c>
      <c r="F226" s="244"/>
      <c r="G226" s="244"/>
      <c r="H226" s="244"/>
      <c r="I226" s="245" t="s">
        <v>535</v>
      </c>
      <c r="J226" s="244"/>
      <c r="K226" s="244"/>
      <c r="L226" s="231"/>
      <c r="Y226" s="673"/>
      <c r="Z226" s="673"/>
      <c r="AA226" s="673"/>
    </row>
    <row r="227" spans="1:27" s="198" customFormat="1" ht="78" customHeight="1" hidden="1">
      <c r="A227" s="222"/>
      <c r="B227" s="247"/>
      <c r="C227" s="246" t="s">
        <v>537</v>
      </c>
      <c r="D227" s="247"/>
      <c r="E227" s="762" t="s">
        <v>539</v>
      </c>
      <c r="F227" s="762"/>
      <c r="G227" s="762"/>
      <c r="H227" s="247"/>
      <c r="I227" s="762" t="s">
        <v>538</v>
      </c>
      <c r="J227" s="762"/>
      <c r="K227" s="762"/>
      <c r="L227" s="200"/>
      <c r="Y227" s="668"/>
      <c r="Z227" s="668"/>
      <c r="AA227" s="668"/>
    </row>
    <row r="228" spans="1:27" s="198" customFormat="1" ht="63" customHeight="1" hidden="1">
      <c r="A228" s="222"/>
      <c r="B228" s="247"/>
      <c r="C228" s="246" t="s">
        <v>540</v>
      </c>
      <c r="D228" s="247"/>
      <c r="E228" s="762" t="s">
        <v>539</v>
      </c>
      <c r="F228" s="762"/>
      <c r="G228" s="762"/>
      <c r="H228" s="247"/>
      <c r="I228" s="762" t="s">
        <v>539</v>
      </c>
      <c r="J228" s="762"/>
      <c r="K228" s="762"/>
      <c r="L228" s="200"/>
      <c r="Y228" s="668"/>
      <c r="Z228" s="668"/>
      <c r="AA228" s="668"/>
    </row>
    <row r="229" spans="1:27" s="189" customFormat="1" ht="212.25" customHeight="1" hidden="1">
      <c r="A229" s="201"/>
      <c r="B229" s="208"/>
      <c r="C229" s="208"/>
      <c r="D229" s="208"/>
      <c r="E229" s="208"/>
      <c r="F229" s="208"/>
      <c r="G229" s="208"/>
      <c r="H229" s="208"/>
      <c r="I229" s="762" t="s">
        <v>541</v>
      </c>
      <c r="J229" s="762"/>
      <c r="K229" s="762"/>
      <c r="L229" s="188"/>
      <c r="Y229" s="466"/>
      <c r="Z229" s="466"/>
      <c r="AA229" s="466"/>
    </row>
    <row r="230" spans="1:27" s="189" customFormat="1" ht="33" customHeight="1" hidden="1">
      <c r="A230" s="201"/>
      <c r="B230" s="208"/>
      <c r="C230" s="747" t="s">
        <v>549</v>
      </c>
      <c r="D230" s="747"/>
      <c r="E230" s="747"/>
      <c r="F230" s="747"/>
      <c r="G230" s="747"/>
      <c r="H230" s="747"/>
      <c r="I230" s="747"/>
      <c r="J230" s="747"/>
      <c r="K230" s="747"/>
      <c r="L230" s="188" t="s">
        <v>543</v>
      </c>
      <c r="Y230" s="466"/>
      <c r="Z230" s="466"/>
      <c r="AA230" s="466"/>
    </row>
    <row r="231" spans="1:27" s="188" customFormat="1" ht="24.75" customHeight="1">
      <c r="A231" s="185" t="s">
        <v>550</v>
      </c>
      <c r="B231" s="186" t="s">
        <v>551</v>
      </c>
      <c r="C231" s="186"/>
      <c r="D231" s="186"/>
      <c r="E231" s="186"/>
      <c r="F231" s="186"/>
      <c r="G231" s="186"/>
      <c r="H231" s="186"/>
      <c r="I231" s="187"/>
      <c r="J231" s="187"/>
      <c r="K231" s="187"/>
      <c r="L231" s="188" t="s">
        <v>552</v>
      </c>
      <c r="Y231" s="466"/>
      <c r="Z231" s="466"/>
      <c r="AA231" s="466"/>
    </row>
    <row r="232" spans="1:27" s="188" customFormat="1" ht="24.75" customHeight="1">
      <c r="A232" s="185"/>
      <c r="B232" s="763" t="s">
        <v>553</v>
      </c>
      <c r="C232" s="764"/>
      <c r="D232" s="764"/>
      <c r="E232" s="764"/>
      <c r="F232" s="764"/>
      <c r="G232" s="764"/>
      <c r="H232" s="764"/>
      <c r="I232" s="764"/>
      <c r="J232" s="764"/>
      <c r="K232" s="764"/>
      <c r="Y232" s="466"/>
      <c r="Z232" s="466"/>
      <c r="AA232" s="466"/>
    </row>
    <row r="233" spans="1:27" s="188" customFormat="1" ht="34.5" customHeight="1">
      <c r="A233" s="185"/>
      <c r="B233" s="765" t="s">
        <v>554</v>
      </c>
      <c r="C233" s="765"/>
      <c r="D233" s="765"/>
      <c r="E233" s="765"/>
      <c r="F233" s="765"/>
      <c r="G233" s="765"/>
      <c r="H233" s="765"/>
      <c r="I233" s="765"/>
      <c r="J233" s="765"/>
      <c r="K233" s="765"/>
      <c r="Y233" s="466"/>
      <c r="Z233" s="466"/>
      <c r="AA233" s="466"/>
    </row>
    <row r="234" spans="1:27" s="188" customFormat="1" ht="78.75" customHeight="1">
      <c r="A234" s="185"/>
      <c r="B234" s="765" t="s">
        <v>555</v>
      </c>
      <c r="C234" s="765"/>
      <c r="D234" s="765"/>
      <c r="E234" s="765"/>
      <c r="F234" s="765"/>
      <c r="G234" s="765"/>
      <c r="H234" s="765"/>
      <c r="I234" s="765"/>
      <c r="J234" s="765"/>
      <c r="K234" s="765"/>
      <c r="Y234" s="466"/>
      <c r="Z234" s="466"/>
      <c r="AA234" s="466"/>
    </row>
    <row r="235" spans="1:27" s="188" customFormat="1" ht="64.5" customHeight="1">
      <c r="A235" s="185"/>
      <c r="B235" s="765" t="s">
        <v>556</v>
      </c>
      <c r="C235" s="765"/>
      <c r="D235" s="765"/>
      <c r="E235" s="765"/>
      <c r="F235" s="765"/>
      <c r="G235" s="765"/>
      <c r="H235" s="765"/>
      <c r="I235" s="765"/>
      <c r="J235" s="765"/>
      <c r="K235" s="765"/>
      <c r="Y235" s="466"/>
      <c r="Z235" s="466"/>
      <c r="AA235" s="466"/>
    </row>
    <row r="236" spans="1:27" s="188" customFormat="1" ht="24.75" customHeight="1">
      <c r="A236" s="185"/>
      <c r="B236" s="763" t="s">
        <v>557</v>
      </c>
      <c r="C236" s="764"/>
      <c r="D236" s="764"/>
      <c r="E236" s="764"/>
      <c r="F236" s="764"/>
      <c r="G236" s="764"/>
      <c r="H236" s="764"/>
      <c r="I236" s="764"/>
      <c r="J236" s="764"/>
      <c r="K236" s="764"/>
      <c r="Y236" s="466"/>
      <c r="Z236" s="466"/>
      <c r="AA236" s="466"/>
    </row>
    <row r="237" spans="1:27" s="188" customFormat="1" ht="34.5" customHeight="1">
      <c r="A237" s="185"/>
      <c r="B237" s="765" t="s">
        <v>558</v>
      </c>
      <c r="C237" s="765"/>
      <c r="D237" s="765"/>
      <c r="E237" s="765"/>
      <c r="F237" s="765"/>
      <c r="G237" s="765"/>
      <c r="H237" s="765"/>
      <c r="I237" s="765"/>
      <c r="J237" s="765"/>
      <c r="K237" s="765"/>
      <c r="Y237" s="466"/>
      <c r="Z237" s="466"/>
      <c r="AA237" s="466"/>
    </row>
    <row r="238" spans="1:27" s="188" customFormat="1" ht="89.25" customHeight="1">
      <c r="A238" s="185"/>
      <c r="B238" s="765" t="s">
        <v>559</v>
      </c>
      <c r="C238" s="765"/>
      <c r="D238" s="765"/>
      <c r="E238" s="765"/>
      <c r="F238" s="765"/>
      <c r="G238" s="765"/>
      <c r="H238" s="765"/>
      <c r="I238" s="765"/>
      <c r="J238" s="765"/>
      <c r="K238" s="765"/>
      <c r="Y238" s="466"/>
      <c r="Z238" s="466"/>
      <c r="AA238" s="466"/>
    </row>
    <row r="239" spans="1:27" s="188" customFormat="1" ht="24.75" customHeight="1">
      <c r="A239" s="185" t="s">
        <v>560</v>
      </c>
      <c r="B239" s="186" t="s">
        <v>561</v>
      </c>
      <c r="C239" s="186"/>
      <c r="D239" s="186"/>
      <c r="E239" s="186"/>
      <c r="F239" s="186"/>
      <c r="G239" s="186"/>
      <c r="H239" s="186"/>
      <c r="I239" s="187"/>
      <c r="J239" s="187"/>
      <c r="K239" s="187"/>
      <c r="Y239" s="466"/>
      <c r="Z239" s="466"/>
      <c r="AA239" s="466"/>
    </row>
    <row r="240" spans="1:27" s="188" customFormat="1" ht="21.75" customHeight="1">
      <c r="A240" s="185"/>
      <c r="B240" s="763" t="s">
        <v>562</v>
      </c>
      <c r="C240" s="764"/>
      <c r="D240" s="764"/>
      <c r="E240" s="764"/>
      <c r="F240" s="764"/>
      <c r="G240" s="764"/>
      <c r="H240" s="764"/>
      <c r="I240" s="764"/>
      <c r="J240" s="764"/>
      <c r="K240" s="764"/>
      <c r="Y240" s="466"/>
      <c r="Z240" s="466"/>
      <c r="AA240" s="466"/>
    </row>
    <row r="241" spans="1:27" s="188" customFormat="1" ht="63" customHeight="1">
      <c r="A241" s="201"/>
      <c r="B241" s="747" t="s">
        <v>563</v>
      </c>
      <c r="C241" s="747"/>
      <c r="D241" s="747"/>
      <c r="E241" s="747"/>
      <c r="F241" s="747"/>
      <c r="G241" s="747"/>
      <c r="H241" s="747"/>
      <c r="I241" s="747"/>
      <c r="J241" s="747"/>
      <c r="K241" s="747"/>
      <c r="Y241" s="466"/>
      <c r="Z241" s="466"/>
      <c r="AA241" s="466"/>
    </row>
    <row r="242" spans="1:27" s="188" customFormat="1" ht="36" customHeight="1">
      <c r="A242" s="202"/>
      <c r="B242" s="766" t="s">
        <v>564</v>
      </c>
      <c r="C242" s="767"/>
      <c r="D242" s="767"/>
      <c r="E242" s="767"/>
      <c r="F242" s="767"/>
      <c r="G242" s="767"/>
      <c r="H242" s="767"/>
      <c r="I242" s="767"/>
      <c r="J242" s="767"/>
      <c r="K242" s="767"/>
      <c r="Y242" s="466"/>
      <c r="Z242" s="466"/>
      <c r="AA242" s="466"/>
    </row>
    <row r="243" spans="1:27" s="188" customFormat="1" ht="35.25" customHeight="1">
      <c r="A243" s="202"/>
      <c r="B243" s="766" t="s">
        <v>565</v>
      </c>
      <c r="C243" s="767"/>
      <c r="D243" s="767"/>
      <c r="E243" s="767"/>
      <c r="F243" s="767"/>
      <c r="G243" s="767"/>
      <c r="H243" s="767"/>
      <c r="I243" s="767"/>
      <c r="J243" s="767"/>
      <c r="K243" s="767"/>
      <c r="Y243" s="466"/>
      <c r="Z243" s="466"/>
      <c r="AA243" s="466"/>
    </row>
    <row r="244" spans="1:27" s="188" customFormat="1" ht="21.75" customHeight="1">
      <c r="A244" s="185"/>
      <c r="B244" s="763" t="s">
        <v>566</v>
      </c>
      <c r="C244" s="764"/>
      <c r="D244" s="764"/>
      <c r="E244" s="764"/>
      <c r="F244" s="764"/>
      <c r="G244" s="764"/>
      <c r="H244" s="764"/>
      <c r="I244" s="764"/>
      <c r="J244" s="764"/>
      <c r="K244" s="764"/>
      <c r="Y244" s="466"/>
      <c r="Z244" s="466"/>
      <c r="AA244" s="466"/>
    </row>
    <row r="245" spans="1:27" s="188" customFormat="1" ht="66.75" customHeight="1">
      <c r="A245" s="201"/>
      <c r="B245" s="747" t="s">
        <v>567</v>
      </c>
      <c r="C245" s="747"/>
      <c r="D245" s="747"/>
      <c r="E245" s="747"/>
      <c r="F245" s="747"/>
      <c r="G245" s="747"/>
      <c r="H245" s="747"/>
      <c r="I245" s="747"/>
      <c r="J245" s="747"/>
      <c r="K245" s="747"/>
      <c r="Y245" s="466"/>
      <c r="Z245" s="466"/>
      <c r="AA245" s="466"/>
    </row>
    <row r="246" spans="1:27" s="188" customFormat="1" ht="35.25" customHeight="1">
      <c r="A246" s="202"/>
      <c r="B246" s="766" t="s">
        <v>568</v>
      </c>
      <c r="C246" s="767"/>
      <c r="D246" s="767"/>
      <c r="E246" s="767"/>
      <c r="F246" s="767"/>
      <c r="G246" s="767"/>
      <c r="H246" s="767"/>
      <c r="I246" s="767"/>
      <c r="J246" s="767"/>
      <c r="K246" s="767"/>
      <c r="Y246" s="466"/>
      <c r="Z246" s="466"/>
      <c r="AA246" s="466"/>
    </row>
    <row r="247" spans="1:27" s="188" customFormat="1" ht="35.25" customHeight="1">
      <c r="A247" s="202"/>
      <c r="B247" s="766" t="s">
        <v>569</v>
      </c>
      <c r="C247" s="767"/>
      <c r="D247" s="767"/>
      <c r="E247" s="767"/>
      <c r="F247" s="767"/>
      <c r="G247" s="767"/>
      <c r="H247" s="767"/>
      <c r="I247" s="767"/>
      <c r="J247" s="767"/>
      <c r="K247" s="767"/>
      <c r="Y247" s="466"/>
      <c r="Z247" s="466"/>
      <c r="AA247" s="466"/>
    </row>
    <row r="248" spans="1:27" s="188" customFormat="1" ht="21.75" customHeight="1">
      <c r="A248" s="185"/>
      <c r="B248" s="763" t="s">
        <v>570</v>
      </c>
      <c r="C248" s="764"/>
      <c r="D248" s="764"/>
      <c r="E248" s="764"/>
      <c r="F248" s="764"/>
      <c r="G248" s="764"/>
      <c r="H248" s="764"/>
      <c r="I248" s="764"/>
      <c r="J248" s="764"/>
      <c r="K248" s="764"/>
      <c r="Y248" s="466"/>
      <c r="Z248" s="466"/>
      <c r="AA248" s="466"/>
    </row>
    <row r="249" spans="1:27" s="188" customFormat="1" ht="61.5" customHeight="1">
      <c r="A249" s="201"/>
      <c r="B249" s="747" t="s">
        <v>571</v>
      </c>
      <c r="C249" s="747"/>
      <c r="D249" s="747"/>
      <c r="E249" s="747"/>
      <c r="F249" s="747"/>
      <c r="G249" s="747"/>
      <c r="H249" s="747"/>
      <c r="I249" s="747"/>
      <c r="J249" s="747"/>
      <c r="K249" s="747"/>
      <c r="Y249" s="466"/>
      <c r="Z249" s="466"/>
      <c r="AA249" s="466"/>
    </row>
    <row r="250" spans="1:27" s="188" customFormat="1" ht="32.25" customHeight="1">
      <c r="A250" s="201"/>
      <c r="B250" s="208"/>
      <c r="C250" s="208"/>
      <c r="D250" s="208"/>
      <c r="E250" s="208"/>
      <c r="F250" s="208"/>
      <c r="G250" s="208"/>
      <c r="H250" s="208"/>
      <c r="I250" s="208"/>
      <c r="J250" s="208"/>
      <c r="K250" s="208"/>
      <c r="Y250" s="466"/>
      <c r="Z250" s="466"/>
      <c r="AA250" s="466"/>
    </row>
    <row r="251" spans="1:27" s="189" customFormat="1" ht="41.25" customHeight="1">
      <c r="A251" s="768" t="s">
        <v>572</v>
      </c>
      <c r="B251" s="768"/>
      <c r="C251" s="768"/>
      <c r="D251" s="768"/>
      <c r="E251" s="768"/>
      <c r="F251" s="768"/>
      <c r="G251" s="768"/>
      <c r="H251" s="768"/>
      <c r="I251" s="768"/>
      <c r="J251" s="768"/>
      <c r="K251" s="768"/>
      <c r="L251" s="188"/>
      <c r="Y251" s="466"/>
      <c r="Z251" s="466"/>
      <c r="AA251" s="466"/>
    </row>
    <row r="252" spans="1:27" s="189" customFormat="1" ht="30" customHeight="1">
      <c r="A252" s="185" t="s">
        <v>202</v>
      </c>
      <c r="B252" s="186" t="s">
        <v>573</v>
      </c>
      <c r="C252" s="186"/>
      <c r="D252" s="186"/>
      <c r="E252" s="186"/>
      <c r="F252" s="186"/>
      <c r="G252" s="186"/>
      <c r="H252" s="186"/>
      <c r="I252" s="248" t="s">
        <v>1055</v>
      </c>
      <c r="J252" s="248"/>
      <c r="K252" s="248" t="str">
        <f>'[1]TTC'!D13</f>
        <v>01/01/2012</v>
      </c>
      <c r="L252" s="249" t="s">
        <v>574</v>
      </c>
      <c r="M252" s="250"/>
      <c r="Y252" s="466"/>
      <c r="Z252" s="466"/>
      <c r="AA252" s="466"/>
    </row>
    <row r="253" spans="1:27" s="238" customFormat="1" ht="19.5" customHeight="1">
      <c r="A253" s="185"/>
      <c r="B253" s="186" t="s">
        <v>188</v>
      </c>
      <c r="C253" s="186"/>
      <c r="D253" s="186"/>
      <c r="E253" s="186"/>
      <c r="F253" s="186"/>
      <c r="G253" s="186"/>
      <c r="H253" s="186"/>
      <c r="I253" s="72">
        <f>I254+I255+I256</f>
        <v>3255683018</v>
      </c>
      <c r="J253" s="72"/>
      <c r="K253" s="72">
        <f>K254+K255+K256</f>
        <v>16273228176</v>
      </c>
      <c r="M253" s="250"/>
      <c r="Y253" s="674"/>
      <c r="Z253" s="674"/>
      <c r="AA253" s="674"/>
    </row>
    <row r="254" spans="1:27" s="189" customFormat="1" ht="15.75" customHeight="1">
      <c r="A254" s="202"/>
      <c r="B254" s="191" t="s">
        <v>575</v>
      </c>
      <c r="D254" s="191"/>
      <c r="E254" s="191"/>
      <c r="F254" s="191"/>
      <c r="G254" s="191"/>
      <c r="H254" s="191"/>
      <c r="I254" s="184">
        <f>10473932+52500000+3187041+32690526</f>
        <v>98851499</v>
      </c>
      <c r="J254" s="184"/>
      <c r="K254" s="184">
        <f>142294+474744267</f>
        <v>474886561</v>
      </c>
      <c r="L254" s="250">
        <f>282.63*20828+947.68*20828</f>
        <v>25624896.68</v>
      </c>
      <c r="M254" s="250"/>
      <c r="N254" s="184"/>
      <c r="O254" s="184"/>
      <c r="Y254" s="466"/>
      <c r="Z254" s="466"/>
      <c r="AA254" s="466"/>
    </row>
    <row r="255" spans="1:27" s="189" customFormat="1" ht="15.75" customHeight="1">
      <c r="A255" s="202"/>
      <c r="B255" s="191" t="s">
        <v>149</v>
      </c>
      <c r="D255" s="191"/>
      <c r="E255" s="191"/>
      <c r="F255" s="191"/>
      <c r="G255" s="191"/>
      <c r="H255" s="191"/>
      <c r="I255" s="184">
        <f>CDKT!K12-'T. Minh'!I254</f>
        <v>3156831519</v>
      </c>
      <c r="J255" s="184"/>
      <c r="K255" s="184">
        <f>15764611710+33729905</f>
        <v>15798341615</v>
      </c>
      <c r="L255" s="251">
        <f>(112.21+25.64)*20828</f>
        <v>2871139.8</v>
      </c>
      <c r="M255" s="252"/>
      <c r="N255" s="184"/>
      <c r="O255" s="184"/>
      <c r="Y255" s="466"/>
      <c r="Z255" s="466"/>
      <c r="AA255" s="466"/>
    </row>
    <row r="256" spans="1:27" s="189" customFormat="1" ht="15.75" customHeight="1" hidden="1">
      <c r="A256" s="202"/>
      <c r="B256" s="191"/>
      <c r="C256" s="191" t="s">
        <v>576</v>
      </c>
      <c r="D256" s="191"/>
      <c r="E256" s="191"/>
      <c r="F256" s="191"/>
      <c r="G256" s="191"/>
      <c r="H256" s="191"/>
      <c r="I256" s="184"/>
      <c r="J256" s="184"/>
      <c r="K256" s="184"/>
      <c r="L256" s="188"/>
      <c r="Y256" s="466"/>
      <c r="Z256" s="466"/>
      <c r="AA256" s="466"/>
    </row>
    <row r="257" spans="1:27" s="238" customFormat="1" ht="19.5" customHeight="1" hidden="1">
      <c r="A257" s="185"/>
      <c r="B257" s="186" t="s">
        <v>577</v>
      </c>
      <c r="C257" s="186"/>
      <c r="D257" s="186"/>
      <c r="E257" s="186"/>
      <c r="F257" s="186"/>
      <c r="G257" s="186"/>
      <c r="H257" s="186"/>
      <c r="I257" s="72">
        <f>SUM(I258:I259)</f>
        <v>0</v>
      </c>
      <c r="J257" s="72"/>
      <c r="K257" s="72">
        <f>SUM(K258:K259)</f>
        <v>0</v>
      </c>
      <c r="Y257" s="674"/>
      <c r="Z257" s="674"/>
      <c r="AA257" s="674"/>
    </row>
    <row r="258" spans="1:27" s="189" customFormat="1" ht="15.75" customHeight="1" hidden="1">
      <c r="A258" s="202"/>
      <c r="B258" s="205"/>
      <c r="D258" s="191"/>
      <c r="E258" s="191"/>
      <c r="F258" s="191"/>
      <c r="G258" s="191"/>
      <c r="H258" s="191"/>
      <c r="I258" s="253"/>
      <c r="J258" s="184"/>
      <c r="K258" s="184"/>
      <c r="L258" s="188"/>
      <c r="Y258" s="466"/>
      <c r="Z258" s="466"/>
      <c r="AA258" s="466"/>
    </row>
    <row r="259" spans="1:27" s="189" customFormat="1" ht="15.75" customHeight="1" hidden="1">
      <c r="A259" s="202"/>
      <c r="B259" s="191"/>
      <c r="C259" s="191" t="s">
        <v>578</v>
      </c>
      <c r="D259" s="191"/>
      <c r="E259" s="191"/>
      <c r="F259" s="191"/>
      <c r="G259" s="191"/>
      <c r="H259" s="191"/>
      <c r="I259" s="184"/>
      <c r="J259" s="184"/>
      <c r="K259" s="184"/>
      <c r="L259" s="188"/>
      <c r="Y259" s="466"/>
      <c r="Z259" s="466"/>
      <c r="AA259" s="466"/>
    </row>
    <row r="260" spans="1:27" s="189" customFormat="1" ht="21" customHeight="1" thickBot="1">
      <c r="A260" s="223"/>
      <c r="B260" s="186"/>
      <c r="C260" s="186" t="s">
        <v>150</v>
      </c>
      <c r="D260" s="232"/>
      <c r="E260" s="232"/>
      <c r="F260" s="232"/>
      <c r="G260" s="232"/>
      <c r="H260" s="232"/>
      <c r="I260" s="254">
        <f>I257+I253</f>
        <v>3255683018</v>
      </c>
      <c r="J260" s="255"/>
      <c r="K260" s="254">
        <f>K257+K253</f>
        <v>16273228176</v>
      </c>
      <c r="L260" s="256">
        <f>I260-'[1]CDKT '!I10</f>
        <v>918215275</v>
      </c>
      <c r="M260" s="257">
        <f>K260-'[1]CDKT '!K10</f>
        <v>0</v>
      </c>
      <c r="Y260" s="466"/>
      <c r="Z260" s="466"/>
      <c r="AA260" s="466"/>
    </row>
    <row r="261" spans="1:27" s="189" customFormat="1" ht="30" customHeight="1" thickTop="1">
      <c r="A261" s="201" t="s">
        <v>205</v>
      </c>
      <c r="B261" s="186" t="s">
        <v>189</v>
      </c>
      <c r="C261" s="186"/>
      <c r="D261" s="186"/>
      <c r="E261" s="186"/>
      <c r="F261" s="186"/>
      <c r="G261" s="186"/>
      <c r="H261" s="186"/>
      <c r="I261" s="72" t="str">
        <f>I252</f>
        <v>30/09/2012</v>
      </c>
      <c r="J261" s="72"/>
      <c r="K261" s="72" t="str">
        <f>K252</f>
        <v>01/01/2012</v>
      </c>
      <c r="L261" s="188"/>
      <c r="Y261" s="466"/>
      <c r="Z261" s="466"/>
      <c r="AA261" s="466"/>
    </row>
    <row r="262" spans="1:27" s="189" customFormat="1" ht="19.5" customHeight="1">
      <c r="A262" s="201"/>
      <c r="B262" s="191" t="s">
        <v>15</v>
      </c>
      <c r="C262" s="186"/>
      <c r="D262" s="186"/>
      <c r="E262" s="186"/>
      <c r="F262" s="186"/>
      <c r="G262" s="186"/>
      <c r="H262" s="186"/>
      <c r="I262" s="184">
        <f>I263</f>
        <v>8725960000</v>
      </c>
      <c r="J262" s="72"/>
      <c r="K262" s="184">
        <f>K263</f>
        <v>7525960000</v>
      </c>
      <c r="L262" s="188"/>
      <c r="Y262" s="466"/>
      <c r="Z262" s="466"/>
      <c r="AA262" s="466"/>
    </row>
    <row r="263" spans="1:27" s="225" customFormat="1" ht="19.5" customHeight="1">
      <c r="A263" s="233"/>
      <c r="B263" s="232"/>
      <c r="C263" s="232" t="s">
        <v>16</v>
      </c>
      <c r="D263" s="232"/>
      <c r="E263" s="232"/>
      <c r="F263" s="232"/>
      <c r="G263" s="232"/>
      <c r="H263" s="232"/>
      <c r="I263" s="588">
        <v>8725960000</v>
      </c>
      <c r="J263" s="258"/>
      <c r="K263" s="258">
        <v>7525960000</v>
      </c>
      <c r="L263" s="224"/>
      <c r="Y263" s="672"/>
      <c r="Z263" s="672"/>
      <c r="AA263" s="672"/>
    </row>
    <row r="264" spans="1:27" s="189" customFormat="1" ht="21" customHeight="1" thickBot="1">
      <c r="A264" s="223"/>
      <c r="B264" s="186"/>
      <c r="C264" s="186" t="s">
        <v>150</v>
      </c>
      <c r="D264" s="232"/>
      <c r="E264" s="232"/>
      <c r="F264" s="232"/>
      <c r="G264" s="232"/>
      <c r="H264" s="232"/>
      <c r="I264" s="254">
        <f>I262</f>
        <v>8725960000</v>
      </c>
      <c r="J264" s="255"/>
      <c r="K264" s="254">
        <f>K262</f>
        <v>7525960000</v>
      </c>
      <c r="L264" s="257">
        <f>I264-'[1]CDKT '!I14</f>
        <v>1200000000</v>
      </c>
      <c r="M264" s="257">
        <f>K264-'[1]CDKT '!K14</f>
        <v>0</v>
      </c>
      <c r="Y264" s="466"/>
      <c r="Z264" s="466"/>
      <c r="AA264" s="466"/>
    </row>
    <row r="265" spans="1:27" s="189" customFormat="1" ht="19.5" customHeight="1" hidden="1">
      <c r="A265" s="201"/>
      <c r="B265" s="186"/>
      <c r="C265" s="186"/>
      <c r="D265" s="186"/>
      <c r="E265" s="769" t="str">
        <f>'[1]TTC'!D14</f>
        <v>30/06/2012</v>
      </c>
      <c r="F265" s="769"/>
      <c r="G265" s="769"/>
      <c r="H265" s="232"/>
      <c r="I265" s="770" t="str">
        <f>'[1]TTC'!D13</f>
        <v>01/01/2012</v>
      </c>
      <c r="J265" s="770"/>
      <c r="K265" s="770"/>
      <c r="L265" s="209" t="s">
        <v>579</v>
      </c>
      <c r="Y265" s="466"/>
      <c r="Z265" s="466"/>
      <c r="AA265" s="466"/>
    </row>
    <row r="266" spans="1:27" s="189" customFormat="1" ht="19.5" customHeight="1" hidden="1">
      <c r="A266" s="201"/>
      <c r="B266" s="186"/>
      <c r="C266" s="186"/>
      <c r="D266" s="186"/>
      <c r="E266" s="259" t="s">
        <v>580</v>
      </c>
      <c r="F266" s="260"/>
      <c r="G266" s="259" t="s">
        <v>581</v>
      </c>
      <c r="H266" s="261"/>
      <c r="I266" s="262" t="s">
        <v>580</v>
      </c>
      <c r="J266" s="263"/>
      <c r="K266" s="262" t="s">
        <v>581</v>
      </c>
      <c r="L266" s="188"/>
      <c r="Y266" s="466"/>
      <c r="Z266" s="466"/>
      <c r="AA266" s="466"/>
    </row>
    <row r="267" spans="1:27" s="189" customFormat="1" ht="15.75" customHeight="1" hidden="1">
      <c r="A267" s="202"/>
      <c r="B267" s="191" t="s">
        <v>582</v>
      </c>
      <c r="C267" s="191"/>
      <c r="D267" s="191"/>
      <c r="E267" s="191"/>
      <c r="F267" s="191"/>
      <c r="G267" s="191"/>
      <c r="H267" s="191"/>
      <c r="I267" s="184"/>
      <c r="J267" s="184"/>
      <c r="K267" s="184"/>
      <c r="L267" s="209" t="s">
        <v>583</v>
      </c>
      <c r="Y267" s="466"/>
      <c r="Z267" s="466"/>
      <c r="AA267" s="466"/>
    </row>
    <row r="268" spans="1:27" s="224" customFormat="1" ht="15.75" customHeight="1" hidden="1">
      <c r="A268" s="223"/>
      <c r="B268" s="232"/>
      <c r="C268" s="232" t="s">
        <v>584</v>
      </c>
      <c r="D268" s="232"/>
      <c r="E268" s="232"/>
      <c r="F268" s="232"/>
      <c r="G268" s="232"/>
      <c r="H268" s="232"/>
      <c r="I268" s="258"/>
      <c r="J268" s="258"/>
      <c r="K268" s="258"/>
      <c r="Y268" s="672"/>
      <c r="Z268" s="672"/>
      <c r="AA268" s="672"/>
    </row>
    <row r="269" spans="1:27" s="189" customFormat="1" ht="15.75" customHeight="1" hidden="1">
      <c r="A269" s="202"/>
      <c r="B269" s="191" t="s">
        <v>585</v>
      </c>
      <c r="C269" s="191"/>
      <c r="D269" s="191"/>
      <c r="E269" s="191"/>
      <c r="F269" s="191"/>
      <c r="G269" s="191"/>
      <c r="H269" s="191"/>
      <c r="I269" s="184"/>
      <c r="J269" s="184"/>
      <c r="K269" s="184"/>
      <c r="L269" s="188"/>
      <c r="Y269" s="466"/>
      <c r="Z269" s="466"/>
      <c r="AA269" s="466"/>
    </row>
    <row r="270" spans="1:27" s="189" customFormat="1" ht="15.75" customHeight="1" hidden="1">
      <c r="A270" s="202"/>
      <c r="B270" s="191"/>
      <c r="C270" s="232" t="s">
        <v>584</v>
      </c>
      <c r="D270" s="191"/>
      <c r="E270" s="191"/>
      <c r="F270" s="191"/>
      <c r="G270" s="191"/>
      <c r="H270" s="191"/>
      <c r="I270" s="184"/>
      <c r="J270" s="184"/>
      <c r="K270" s="184"/>
      <c r="L270" s="188"/>
      <c r="Y270" s="466"/>
      <c r="Z270" s="466"/>
      <c r="AA270" s="466"/>
    </row>
    <row r="271" spans="1:27" s="189" customFormat="1" ht="30" customHeight="1" hidden="1">
      <c r="A271" s="202"/>
      <c r="B271" s="771" t="s">
        <v>586</v>
      </c>
      <c r="C271" s="771"/>
      <c r="D271" s="264"/>
      <c r="E271" s="264"/>
      <c r="F271" s="264"/>
      <c r="G271" s="264"/>
      <c r="H271" s="191"/>
      <c r="I271" s="184"/>
      <c r="J271" s="184"/>
      <c r="K271" s="184"/>
      <c r="L271" s="209" t="s">
        <v>587</v>
      </c>
      <c r="Y271" s="466"/>
      <c r="Z271" s="466"/>
      <c r="AA271" s="466"/>
    </row>
    <row r="272" spans="1:27" s="189" customFormat="1" ht="21" customHeight="1" hidden="1">
      <c r="A272" s="265"/>
      <c r="B272" s="186"/>
      <c r="C272" s="186" t="s">
        <v>150</v>
      </c>
      <c r="D272" s="232"/>
      <c r="E272" s="266">
        <f>E267+E269+E271</f>
        <v>0</v>
      </c>
      <c r="F272" s="266"/>
      <c r="G272" s="266">
        <f>G267+G269+G271</f>
        <v>0</v>
      </c>
      <c r="H272" s="232"/>
      <c r="I272" s="254">
        <f>I267+I269+I271</f>
        <v>0</v>
      </c>
      <c r="J272" s="254"/>
      <c r="K272" s="254">
        <f>K267+K269+K271</f>
        <v>0</v>
      </c>
      <c r="L272" s="257">
        <f>G272-'[1]CDKT '!I13</f>
        <v>-7525960000</v>
      </c>
      <c r="M272" s="257">
        <f>K272-'[1]CDKT '!K13</f>
        <v>-7525960000</v>
      </c>
      <c r="Y272" s="466"/>
      <c r="Z272" s="466"/>
      <c r="AA272" s="466"/>
    </row>
    <row r="273" spans="1:27" s="188" customFormat="1" ht="30" customHeight="1" hidden="1">
      <c r="A273" s="267"/>
      <c r="B273" s="186" t="s">
        <v>588</v>
      </c>
      <c r="C273" s="191"/>
      <c r="D273" s="191"/>
      <c r="E273" s="191"/>
      <c r="F273" s="191"/>
      <c r="G273" s="191"/>
      <c r="H273" s="191"/>
      <c r="I273" s="184"/>
      <c r="J273" s="184"/>
      <c r="K273" s="184"/>
      <c r="Y273" s="466"/>
      <c r="Z273" s="466"/>
      <c r="AA273" s="466"/>
    </row>
    <row r="274" spans="1:27" s="189" customFormat="1" ht="30" customHeight="1" thickTop="1">
      <c r="A274" s="185" t="s">
        <v>217</v>
      </c>
      <c r="B274" s="186" t="s">
        <v>589</v>
      </c>
      <c r="C274" s="186"/>
      <c r="D274" s="186"/>
      <c r="E274" s="186"/>
      <c r="F274" s="186"/>
      <c r="G274" s="186"/>
      <c r="H274" s="240"/>
      <c r="I274" s="248" t="s">
        <v>1055</v>
      </c>
      <c r="J274" s="268"/>
      <c r="K274" s="268" t="str">
        <f>'[1]TTC'!D13</f>
        <v>01/01/2012</v>
      </c>
      <c r="L274" s="209"/>
      <c r="Y274" s="466"/>
      <c r="Z274" s="466"/>
      <c r="AA274" s="466"/>
    </row>
    <row r="275" spans="1:27" s="189" customFormat="1" ht="15.75" customHeight="1">
      <c r="A275" s="202"/>
      <c r="B275" s="191" t="s">
        <v>590</v>
      </c>
      <c r="C275" s="191"/>
      <c r="D275" s="191"/>
      <c r="E275" s="191"/>
      <c r="F275" s="191"/>
      <c r="G275" s="191"/>
      <c r="H275" s="191"/>
      <c r="I275" s="184"/>
      <c r="J275" s="184"/>
      <c r="K275" s="184"/>
      <c r="L275" s="188"/>
      <c r="Y275" s="466"/>
      <c r="Z275" s="466"/>
      <c r="AA275" s="466"/>
    </row>
    <row r="276" spans="1:27" s="189" customFormat="1" ht="15.75" customHeight="1" hidden="1">
      <c r="A276" s="202"/>
      <c r="B276" s="191" t="s">
        <v>591</v>
      </c>
      <c r="C276" s="191"/>
      <c r="D276" s="191"/>
      <c r="E276" s="191"/>
      <c r="F276" s="191"/>
      <c r="G276" s="191"/>
      <c r="H276" s="191"/>
      <c r="I276" s="184"/>
      <c r="J276" s="184"/>
      <c r="K276" s="184"/>
      <c r="L276" s="188"/>
      <c r="Y276" s="466"/>
      <c r="Z276" s="466"/>
      <c r="AA276" s="466"/>
    </row>
    <row r="277" spans="1:27" s="189" customFormat="1" ht="15.75" customHeight="1" hidden="1">
      <c r="A277" s="202"/>
      <c r="B277" s="191" t="s">
        <v>592</v>
      </c>
      <c r="C277" s="191"/>
      <c r="D277" s="191"/>
      <c r="E277" s="191"/>
      <c r="F277" s="191"/>
      <c r="G277" s="191"/>
      <c r="H277" s="191"/>
      <c r="I277" s="184"/>
      <c r="J277" s="184"/>
      <c r="K277" s="184"/>
      <c r="L277" s="188"/>
      <c r="Y277" s="466"/>
      <c r="Z277" s="466"/>
      <c r="AA277" s="466"/>
    </row>
    <row r="278" spans="1:27" s="189" customFormat="1" ht="15.75" customHeight="1">
      <c r="A278" s="202"/>
      <c r="B278" s="191" t="s">
        <v>151</v>
      </c>
      <c r="C278" s="191"/>
      <c r="D278" s="191"/>
      <c r="E278" s="191"/>
      <c r="F278" s="191"/>
      <c r="G278" s="191"/>
      <c r="H278" s="191"/>
      <c r="I278" s="184">
        <f>SUM(I279:I283)</f>
        <v>4538197388</v>
      </c>
      <c r="J278" s="184">
        <f>SUM(J279:J280)</f>
        <v>0</v>
      </c>
      <c r="K278" s="184">
        <f>SUM(K279:K283)</f>
        <v>4444686146</v>
      </c>
      <c r="L278" s="188"/>
      <c r="Y278" s="466"/>
      <c r="Z278" s="466"/>
      <c r="AA278" s="466"/>
    </row>
    <row r="279" spans="1:27" s="225" customFormat="1" ht="15.75" customHeight="1">
      <c r="A279" s="223"/>
      <c r="B279" s="232"/>
      <c r="C279" s="225" t="s">
        <v>593</v>
      </c>
      <c r="D279" s="232"/>
      <c r="E279" s="232"/>
      <c r="F279" s="232"/>
      <c r="G279" s="232"/>
      <c r="H279" s="232"/>
      <c r="I279" s="588">
        <v>560492548</v>
      </c>
      <c r="J279" s="258"/>
      <c r="K279" s="258">
        <v>300284604</v>
      </c>
      <c r="L279" s="224"/>
      <c r="Y279" s="672"/>
      <c r="Z279" s="672"/>
      <c r="AA279" s="672"/>
    </row>
    <row r="280" spans="1:27" s="225" customFormat="1" ht="15.75" customHeight="1">
      <c r="A280" s="223"/>
      <c r="B280" s="232"/>
      <c r="C280" s="225" t="s">
        <v>594</v>
      </c>
      <c r="D280" s="232"/>
      <c r="E280" s="232"/>
      <c r="F280" s="232"/>
      <c r="G280" s="232"/>
      <c r="H280" s="232"/>
      <c r="I280" s="258">
        <f>CDKT!K19-'T. Minh'!I279</f>
        <v>3977704840</v>
      </c>
      <c r="J280" s="258"/>
      <c r="K280" s="258">
        <v>3591839502</v>
      </c>
      <c r="L280" s="224"/>
      <c r="Y280" s="672"/>
      <c r="Z280" s="672"/>
      <c r="AA280" s="672"/>
    </row>
    <row r="281" spans="1:27" s="225" customFormat="1" ht="15.75" customHeight="1">
      <c r="A281" s="223"/>
      <c r="B281" s="232"/>
      <c r="C281" s="225" t="s">
        <v>595</v>
      </c>
      <c r="D281" s="232"/>
      <c r="E281" s="232"/>
      <c r="F281" s="232"/>
      <c r="G281" s="232"/>
      <c r="H281" s="232"/>
      <c r="I281" s="258">
        <v>0</v>
      </c>
      <c r="J281" s="258"/>
      <c r="K281" s="258">
        <v>52712072</v>
      </c>
      <c r="L281" s="224"/>
      <c r="Y281" s="672"/>
      <c r="Z281" s="672"/>
      <c r="AA281" s="672"/>
    </row>
    <row r="282" spans="1:27" s="225" customFormat="1" ht="15.75" customHeight="1">
      <c r="A282" s="223"/>
      <c r="B282" s="232"/>
      <c r="C282" s="225" t="s">
        <v>596</v>
      </c>
      <c r="D282" s="232"/>
      <c r="E282" s="232"/>
      <c r="F282" s="232"/>
      <c r="G282" s="232"/>
      <c r="H282" s="232"/>
      <c r="I282" s="258">
        <v>0</v>
      </c>
      <c r="J282" s="258"/>
      <c r="K282" s="258">
        <v>499849968</v>
      </c>
      <c r="L282" s="224"/>
      <c r="Y282" s="672"/>
      <c r="Z282" s="672"/>
      <c r="AA282" s="672"/>
    </row>
    <row r="283" spans="1:27" s="225" customFormat="1" ht="15.75" customHeight="1" hidden="1">
      <c r="A283" s="223"/>
      <c r="B283" s="232"/>
      <c r="C283" s="225" t="s">
        <v>597</v>
      </c>
      <c r="D283" s="232"/>
      <c r="E283" s="232"/>
      <c r="F283" s="232"/>
      <c r="G283" s="232"/>
      <c r="H283" s="232"/>
      <c r="I283" s="258"/>
      <c r="J283" s="258"/>
      <c r="K283" s="258"/>
      <c r="L283" s="224"/>
      <c r="Y283" s="672"/>
      <c r="Z283" s="672"/>
      <c r="AA283" s="672"/>
    </row>
    <row r="284" spans="1:27" s="189" customFormat="1" ht="21" customHeight="1" thickBot="1">
      <c r="A284" s="223"/>
      <c r="B284" s="186"/>
      <c r="C284" s="186" t="s">
        <v>150</v>
      </c>
      <c r="D284" s="232"/>
      <c r="E284" s="232"/>
      <c r="F284" s="232"/>
      <c r="G284" s="232"/>
      <c r="H284" s="232"/>
      <c r="I284" s="254">
        <f>I275+I276+I277+I278</f>
        <v>4538197388</v>
      </c>
      <c r="J284" s="72"/>
      <c r="K284" s="254">
        <f>K275+K276+K277+K278</f>
        <v>4444686146</v>
      </c>
      <c r="L284" s="257">
        <f>I284-'[1]CDKT '!I21</f>
        <v>2140914518</v>
      </c>
      <c r="M284" s="257">
        <f>K284-'[1]CDKT '!K21</f>
        <v>0</v>
      </c>
      <c r="Y284" s="466"/>
      <c r="Z284" s="466"/>
      <c r="AA284" s="466"/>
    </row>
    <row r="285" spans="1:27" s="189" customFormat="1" ht="21" customHeight="1" thickTop="1">
      <c r="A285" s="223"/>
      <c r="B285" s="186"/>
      <c r="C285" s="186"/>
      <c r="D285" s="232"/>
      <c r="E285" s="232"/>
      <c r="F285" s="232"/>
      <c r="G285" s="232"/>
      <c r="H285" s="232"/>
      <c r="I285" s="72"/>
      <c r="J285" s="72"/>
      <c r="K285" s="72"/>
      <c r="L285" s="257"/>
      <c r="M285" s="257"/>
      <c r="Y285" s="466"/>
      <c r="Z285" s="466"/>
      <c r="AA285" s="466"/>
    </row>
    <row r="286" spans="1:27" s="189" customFormat="1" ht="30" customHeight="1">
      <c r="A286" s="185" t="s">
        <v>252</v>
      </c>
      <c r="B286" s="186" t="s">
        <v>41</v>
      </c>
      <c r="C286" s="186"/>
      <c r="D286" s="186"/>
      <c r="E286" s="186"/>
      <c r="F286" s="186"/>
      <c r="G286" s="186"/>
      <c r="H286" s="186"/>
      <c r="I286" s="248" t="s">
        <v>1055</v>
      </c>
      <c r="J286" s="248"/>
      <c r="K286" s="248" t="str">
        <f>'[1]TTC'!D13</f>
        <v>01/01/2012</v>
      </c>
      <c r="L286" s="209"/>
      <c r="Y286" s="466"/>
      <c r="Z286" s="466"/>
      <c r="AA286" s="466"/>
    </row>
    <row r="287" spans="1:27" s="189" customFormat="1" ht="15.75" customHeight="1" hidden="1">
      <c r="A287" s="202"/>
      <c r="B287" s="191" t="s">
        <v>598</v>
      </c>
      <c r="C287" s="191"/>
      <c r="D287" s="191"/>
      <c r="E287" s="191"/>
      <c r="F287" s="191"/>
      <c r="G287" s="191"/>
      <c r="H287" s="191"/>
      <c r="I287" s="192"/>
      <c r="J287" s="192"/>
      <c r="K287" s="192"/>
      <c r="L287" s="188"/>
      <c r="Y287" s="466"/>
      <c r="Z287" s="466"/>
      <c r="AA287" s="466"/>
    </row>
    <row r="288" spans="1:27" s="189" customFormat="1" ht="15.75" customHeight="1">
      <c r="A288" s="202"/>
      <c r="B288" s="191" t="s">
        <v>153</v>
      </c>
      <c r="C288" s="191"/>
      <c r="D288" s="191"/>
      <c r="E288" s="191"/>
      <c r="F288" s="191"/>
      <c r="G288" s="191"/>
      <c r="H288" s="191"/>
      <c r="I288" s="588">
        <f>14571177038+2168375+576326432</f>
        <v>15149671845</v>
      </c>
      <c r="J288" s="184"/>
      <c r="K288" s="184">
        <f>18449212435+400880473</f>
        <v>18850092908</v>
      </c>
      <c r="L288" s="251"/>
      <c r="Y288" s="466"/>
      <c r="Z288" s="466"/>
      <c r="AA288" s="466"/>
    </row>
    <row r="289" spans="1:27" s="189" customFormat="1" ht="15.75" customHeight="1">
      <c r="A289" s="202"/>
      <c r="B289" s="191" t="s">
        <v>599</v>
      </c>
      <c r="C289" s="191"/>
      <c r="D289" s="191"/>
      <c r="E289" s="191"/>
      <c r="F289" s="191"/>
      <c r="G289" s="191"/>
      <c r="H289" s="191"/>
      <c r="I289" s="588">
        <v>59719627</v>
      </c>
      <c r="J289" s="184"/>
      <c r="K289" s="184">
        <v>47359997</v>
      </c>
      <c r="L289" s="256"/>
      <c r="Y289" s="466"/>
      <c r="Z289" s="466"/>
      <c r="AA289" s="466"/>
    </row>
    <row r="290" spans="1:27" s="189" customFormat="1" ht="15.75" customHeight="1">
      <c r="A290" s="202"/>
      <c r="B290" s="191" t="s">
        <v>600</v>
      </c>
      <c r="C290" s="191"/>
      <c r="D290" s="191"/>
      <c r="E290" s="191"/>
      <c r="F290" s="191"/>
      <c r="G290" s="191"/>
      <c r="H290" s="191"/>
      <c r="I290" s="588">
        <f>13214436366+982172892</f>
        <v>14196609258</v>
      </c>
      <c r="J290" s="184"/>
      <c r="K290" s="184">
        <v>6542222339</v>
      </c>
      <c r="L290" s="256"/>
      <c r="Y290" s="466"/>
      <c r="Z290" s="466"/>
      <c r="AA290" s="466"/>
    </row>
    <row r="291" spans="1:27" s="189" customFormat="1" ht="15.75" customHeight="1">
      <c r="A291" s="202"/>
      <c r="B291" s="191" t="s">
        <v>601</v>
      </c>
      <c r="C291" s="191"/>
      <c r="D291" s="191"/>
      <c r="E291" s="191"/>
      <c r="F291" s="191"/>
      <c r="G291" s="191"/>
      <c r="H291" s="191"/>
      <c r="I291" s="588">
        <v>5191407630</v>
      </c>
      <c r="J291" s="184"/>
      <c r="K291" s="184">
        <v>10243168030</v>
      </c>
      <c r="L291" s="256"/>
      <c r="Y291" s="466"/>
      <c r="Z291" s="466"/>
      <c r="AA291" s="466"/>
    </row>
    <row r="292" spans="1:27" s="189" customFormat="1" ht="15.75" customHeight="1">
      <c r="A292" s="202"/>
      <c r="B292" s="191" t="s">
        <v>602</v>
      </c>
      <c r="C292" s="191"/>
      <c r="D292" s="191"/>
      <c r="E292" s="191"/>
      <c r="F292" s="191"/>
      <c r="G292" s="191"/>
      <c r="H292" s="191"/>
      <c r="I292" s="184"/>
      <c r="J292" s="184"/>
      <c r="K292" s="184">
        <v>698572370</v>
      </c>
      <c r="L292" s="251">
        <f>33540.06*20828</f>
        <v>698572369.68</v>
      </c>
      <c r="Y292" s="466"/>
      <c r="Z292" s="466"/>
      <c r="AA292" s="466"/>
    </row>
    <row r="293" spans="1:27" s="189" customFormat="1" ht="15.75" customHeight="1">
      <c r="A293" s="202"/>
      <c r="B293" s="191" t="s">
        <v>154</v>
      </c>
      <c r="C293" s="191"/>
      <c r="D293" s="191"/>
      <c r="E293" s="191"/>
      <c r="F293" s="191"/>
      <c r="G293" s="191"/>
      <c r="H293" s="191"/>
      <c r="I293" s="588">
        <v>29810222771</v>
      </c>
      <c r="J293" s="184"/>
      <c r="K293" s="184">
        <f>14204626112+280216163</f>
        <v>14484842275</v>
      </c>
      <c r="L293" s="251">
        <f>13453.82*20828</f>
        <v>280216162.96</v>
      </c>
      <c r="Y293" s="466"/>
      <c r="Z293" s="466"/>
      <c r="AA293" s="466"/>
    </row>
    <row r="294" spans="1:27" s="189" customFormat="1" ht="15.75" customHeight="1" hidden="1">
      <c r="A294" s="202"/>
      <c r="B294" s="191" t="s">
        <v>603</v>
      </c>
      <c r="C294" s="191"/>
      <c r="D294" s="191"/>
      <c r="E294" s="191"/>
      <c r="F294" s="191"/>
      <c r="G294" s="191"/>
      <c r="H294" s="191"/>
      <c r="I294" s="184"/>
      <c r="J294" s="184"/>
      <c r="K294" s="184"/>
      <c r="L294" s="188"/>
      <c r="Y294" s="466"/>
      <c r="Z294" s="466"/>
      <c r="AA294" s="466"/>
    </row>
    <row r="295" spans="1:27" s="189" customFormat="1" ht="15.75" customHeight="1" hidden="1">
      <c r="A295" s="202"/>
      <c r="B295" s="191" t="s">
        <v>604</v>
      </c>
      <c r="C295" s="191"/>
      <c r="D295" s="191"/>
      <c r="E295" s="191"/>
      <c r="F295" s="191"/>
      <c r="G295" s="191"/>
      <c r="H295" s="191"/>
      <c r="I295" s="184"/>
      <c r="J295" s="184"/>
      <c r="K295" s="184"/>
      <c r="L295" s="188"/>
      <c r="Y295" s="466"/>
      <c r="Z295" s="466"/>
      <c r="AA295" s="466"/>
    </row>
    <row r="296" spans="1:27" s="189" customFormat="1" ht="15.75" customHeight="1">
      <c r="A296" s="223"/>
      <c r="B296" s="186"/>
      <c r="C296" s="186" t="s">
        <v>155</v>
      </c>
      <c r="D296" s="232"/>
      <c r="E296" s="232"/>
      <c r="F296" s="232"/>
      <c r="G296" s="232"/>
      <c r="H296" s="232"/>
      <c r="I296" s="269">
        <f>SUM(I287:I295)</f>
        <v>64407631131</v>
      </c>
      <c r="J296" s="72"/>
      <c r="K296" s="269">
        <f>SUM(K287:K295)</f>
        <v>50866257919</v>
      </c>
      <c r="L296" s="257">
        <f>I296-'[1]CDKT '!I24</f>
        <v>-18410552731</v>
      </c>
      <c r="M296" s="257">
        <f>K296-'[1]CDKT '!K23+'[1]CDKT '!K25</f>
        <v>0</v>
      </c>
      <c r="Y296" s="466"/>
      <c r="Z296" s="466"/>
      <c r="AA296" s="466"/>
    </row>
    <row r="297" spans="1:27" s="189" customFormat="1" ht="15.75" customHeight="1">
      <c r="A297" s="202"/>
      <c r="B297" s="191"/>
      <c r="C297" s="191" t="s">
        <v>605</v>
      </c>
      <c r="D297" s="191"/>
      <c r="E297" s="191"/>
      <c r="F297" s="191"/>
      <c r="G297" s="191"/>
      <c r="H297" s="202"/>
      <c r="I297" s="251">
        <f>K297</f>
        <v>-737045235</v>
      </c>
      <c r="J297" s="270"/>
      <c r="K297" s="251">
        <f>'[1]CDKT '!K25</f>
        <v>-737045235</v>
      </c>
      <c r="L297" s="188"/>
      <c r="Y297" s="466"/>
      <c r="Z297" s="466"/>
      <c r="AA297" s="466"/>
    </row>
    <row r="298" spans="1:27" s="189" customFormat="1" ht="15.75" customHeight="1" thickBot="1">
      <c r="A298" s="223"/>
      <c r="B298" s="186"/>
      <c r="C298" s="186" t="s">
        <v>17</v>
      </c>
      <c r="D298" s="232"/>
      <c r="E298" s="232"/>
      <c r="F298" s="232"/>
      <c r="G298" s="232"/>
      <c r="H298" s="232"/>
      <c r="I298" s="254">
        <f>I296+I297</f>
        <v>63670585896</v>
      </c>
      <c r="J298" s="72"/>
      <c r="K298" s="254">
        <f>K296+K297</f>
        <v>50129212684</v>
      </c>
      <c r="L298" s="257">
        <f>I298-'[1]CDKT '!I23</f>
        <v>-18410552731</v>
      </c>
      <c r="M298" s="257">
        <f>K298-'[1]CDKT '!K23</f>
        <v>0</v>
      </c>
      <c r="Y298" s="466"/>
      <c r="Z298" s="466"/>
      <c r="AA298" s="466"/>
    </row>
    <row r="299" spans="1:27" s="189" customFormat="1" ht="15.75" customHeight="1" hidden="1">
      <c r="A299" s="202"/>
      <c r="B299" s="219" t="s">
        <v>606</v>
      </c>
      <c r="C299" s="219"/>
      <c r="D299" s="219"/>
      <c r="E299" s="219"/>
      <c r="F299" s="219"/>
      <c r="G299" s="219"/>
      <c r="H299" s="219"/>
      <c r="I299" s="192"/>
      <c r="J299" s="192"/>
      <c r="K299" s="192"/>
      <c r="L299" s="188"/>
      <c r="Y299" s="466"/>
      <c r="Z299" s="466"/>
      <c r="AA299" s="466"/>
    </row>
    <row r="300" spans="1:27" s="189" customFormat="1" ht="15.75" customHeight="1" hidden="1">
      <c r="A300" s="202"/>
      <c r="B300" s="219" t="s">
        <v>607</v>
      </c>
      <c r="C300" s="219"/>
      <c r="D300" s="219"/>
      <c r="E300" s="219"/>
      <c r="F300" s="219"/>
      <c r="G300" s="219"/>
      <c r="H300" s="219"/>
      <c r="I300" s="192"/>
      <c r="J300" s="192"/>
      <c r="K300" s="192"/>
      <c r="L300" s="188"/>
      <c r="Y300" s="466"/>
      <c r="Z300" s="466"/>
      <c r="AA300" s="466"/>
    </row>
    <row r="301" spans="1:27" s="189" customFormat="1" ht="15.75" customHeight="1" hidden="1">
      <c r="A301" s="202"/>
      <c r="B301" s="219" t="s">
        <v>608</v>
      </c>
      <c r="C301" s="219"/>
      <c r="D301" s="219"/>
      <c r="E301" s="219"/>
      <c r="F301" s="219"/>
      <c r="G301" s="219"/>
      <c r="H301" s="219"/>
      <c r="I301" s="192"/>
      <c r="J301" s="192"/>
      <c r="K301" s="192"/>
      <c r="L301" s="188"/>
      <c r="Y301" s="466"/>
      <c r="Z301" s="466"/>
      <c r="AA301" s="466"/>
    </row>
    <row r="302" spans="1:27" s="225" customFormat="1" ht="34.5" customHeight="1" thickTop="1">
      <c r="A302" s="223"/>
      <c r="B302" s="772" t="s">
        <v>609</v>
      </c>
      <c r="C302" s="772"/>
      <c r="D302" s="772"/>
      <c r="E302" s="772"/>
      <c r="F302" s="772"/>
      <c r="G302" s="772"/>
      <c r="H302" s="772"/>
      <c r="I302" s="772"/>
      <c r="J302" s="772"/>
      <c r="K302" s="772"/>
      <c r="L302" s="224"/>
      <c r="Y302" s="672"/>
      <c r="Z302" s="672"/>
      <c r="AA302" s="672"/>
    </row>
    <row r="303" spans="1:27" s="189" customFormat="1" ht="30" customHeight="1">
      <c r="A303" s="185" t="s">
        <v>255</v>
      </c>
      <c r="B303" s="186" t="s">
        <v>152</v>
      </c>
      <c r="C303" s="186"/>
      <c r="D303" s="186"/>
      <c r="E303" s="186"/>
      <c r="F303" s="186"/>
      <c r="G303" s="186"/>
      <c r="H303" s="186"/>
      <c r="I303" s="248" t="s">
        <v>1055</v>
      </c>
      <c r="J303" s="248"/>
      <c r="K303" s="248" t="str">
        <f>'[1]TTC'!D13</f>
        <v>01/01/2012</v>
      </c>
      <c r="L303" s="209"/>
      <c r="Y303" s="466"/>
      <c r="Z303" s="466"/>
      <c r="AA303" s="466"/>
    </row>
    <row r="304" spans="1:27" s="238" customFormat="1" ht="19.5" customHeight="1" hidden="1">
      <c r="A304" s="185"/>
      <c r="B304" s="186" t="s">
        <v>610</v>
      </c>
      <c r="C304" s="186"/>
      <c r="D304" s="186"/>
      <c r="E304" s="186"/>
      <c r="F304" s="186"/>
      <c r="G304" s="186"/>
      <c r="H304" s="186"/>
      <c r="I304" s="187">
        <f>SUM(I305:I306)</f>
        <v>0</v>
      </c>
      <c r="J304" s="187"/>
      <c r="K304" s="187">
        <f>SUM(K305:K306)</f>
        <v>0</v>
      </c>
      <c r="L304" s="271">
        <f>I304-'[1]CDKT '!I29</f>
        <v>-8613627</v>
      </c>
      <c r="M304" s="271">
        <f>K304-'[1]CDKT '!K29</f>
        <v>-8613627</v>
      </c>
      <c r="Y304" s="674"/>
      <c r="Z304" s="674"/>
      <c r="AA304" s="674"/>
    </row>
    <row r="305" spans="1:27" s="189" customFormat="1" ht="15.75" customHeight="1" hidden="1">
      <c r="A305" s="202"/>
      <c r="B305" s="272"/>
      <c r="C305" s="191" t="s">
        <v>611</v>
      </c>
      <c r="D305" s="191"/>
      <c r="E305" s="191"/>
      <c r="F305" s="191"/>
      <c r="G305" s="191"/>
      <c r="H305" s="191"/>
      <c r="I305" s="192"/>
      <c r="J305" s="192"/>
      <c r="K305" s="192"/>
      <c r="L305" s="188"/>
      <c r="Y305" s="466"/>
      <c r="Z305" s="466"/>
      <c r="AA305" s="466"/>
    </row>
    <row r="306" spans="1:27" s="189" customFormat="1" ht="15.75" customHeight="1" hidden="1">
      <c r="A306" s="202"/>
      <c r="B306" s="272"/>
      <c r="C306" s="191" t="s">
        <v>612</v>
      </c>
      <c r="D306" s="191"/>
      <c r="E306" s="191"/>
      <c r="F306" s="191"/>
      <c r="G306" s="191"/>
      <c r="H306" s="191"/>
      <c r="I306" s="192"/>
      <c r="J306" s="192"/>
      <c r="K306" s="192"/>
      <c r="L306" s="188"/>
      <c r="Y306" s="466"/>
      <c r="Z306" s="466"/>
      <c r="AA306" s="466"/>
    </row>
    <row r="307" spans="1:27" s="238" customFormat="1" ht="19.5" customHeight="1" hidden="1">
      <c r="A307" s="185"/>
      <c r="B307" s="186" t="s">
        <v>152</v>
      </c>
      <c r="C307" s="186"/>
      <c r="D307" s="186"/>
      <c r="E307" s="186"/>
      <c r="F307" s="186"/>
      <c r="G307" s="186"/>
      <c r="H307" s="186"/>
      <c r="I307" s="187">
        <f>I308+I309+I312</f>
        <v>15682014675</v>
      </c>
      <c r="J307" s="187"/>
      <c r="K307" s="187">
        <f>K308+K309+K312</f>
        <v>22404874389</v>
      </c>
      <c r="L307" s="271">
        <f>I307-'[1]CDKT '!I31</f>
        <v>-2183000209</v>
      </c>
      <c r="M307" s="271">
        <f>K307-'[1]CDKT '!K31</f>
        <v>0</v>
      </c>
      <c r="Y307" s="674"/>
      <c r="Z307" s="674"/>
      <c r="AA307" s="674"/>
    </row>
    <row r="308" spans="1:27" s="189" customFormat="1" ht="15.75" customHeight="1">
      <c r="A308" s="202"/>
      <c r="B308" s="191" t="s">
        <v>21</v>
      </c>
      <c r="D308" s="191"/>
      <c r="E308" s="191"/>
      <c r="F308" s="191"/>
      <c r="G308" s="191"/>
      <c r="H308" s="191"/>
      <c r="I308" s="588">
        <f>8007213866+54742000+20273000</f>
        <v>8082228866</v>
      </c>
      <c r="J308" s="184"/>
      <c r="K308" s="184">
        <f>8808544082+425903441</f>
        <v>9234447523</v>
      </c>
      <c r="L308" s="251">
        <f>(661+7716.7)*20828</f>
        <v>174490735.60000002</v>
      </c>
      <c r="M308" s="273">
        <f>I308-K308</f>
        <v>-1152218657</v>
      </c>
      <c r="N308" s="189" t="s">
        <v>613</v>
      </c>
      <c r="Y308" s="466"/>
      <c r="Z308" s="466"/>
      <c r="AA308" s="466"/>
    </row>
    <row r="309" spans="1:27" s="189" customFormat="1" ht="15.75" customHeight="1">
      <c r="A309" s="202"/>
      <c r="B309" s="191" t="s">
        <v>22</v>
      </c>
      <c r="D309" s="191"/>
      <c r="E309" s="191"/>
      <c r="F309" s="191"/>
      <c r="G309" s="191"/>
      <c r="H309" s="191"/>
      <c r="I309" s="184">
        <f>I310</f>
        <v>7599785809</v>
      </c>
      <c r="J309" s="184">
        <f>J311</f>
        <v>0</v>
      </c>
      <c r="K309" s="184">
        <f>SUM(K310:K311)</f>
        <v>13170426866</v>
      </c>
      <c r="L309" s="188"/>
      <c r="M309" s="274">
        <f>I309-K309</f>
        <v>-5570641057</v>
      </c>
      <c r="N309" s="275" t="s">
        <v>614</v>
      </c>
      <c r="Y309" s="466"/>
      <c r="Z309" s="466"/>
      <c r="AA309" s="466"/>
    </row>
    <row r="310" spans="1:27" s="225" customFormat="1" ht="15.75" customHeight="1">
      <c r="A310" s="223"/>
      <c r="B310" s="232"/>
      <c r="C310" s="225" t="s">
        <v>615</v>
      </c>
      <c r="D310" s="232"/>
      <c r="E310" s="232"/>
      <c r="F310" s="232"/>
      <c r="G310" s="232"/>
      <c r="H310" s="232"/>
      <c r="I310" s="588">
        <f>7534785809+65000000</f>
        <v>7599785809</v>
      </c>
      <c r="J310" s="258"/>
      <c r="K310" s="258">
        <v>8539480</v>
      </c>
      <c r="L310" s="251">
        <f>410*20828</f>
        <v>8539480</v>
      </c>
      <c r="Y310" s="672"/>
      <c r="Z310" s="672"/>
      <c r="AA310" s="672"/>
    </row>
    <row r="311" spans="1:27" s="189" customFormat="1" ht="15.75" customHeight="1">
      <c r="A311" s="202"/>
      <c r="B311" s="191"/>
      <c r="C311" s="276" t="s">
        <v>616</v>
      </c>
      <c r="D311" s="191"/>
      <c r="E311" s="191"/>
      <c r="F311" s="191"/>
      <c r="G311" s="191"/>
      <c r="H311" s="191"/>
      <c r="I311" s="258"/>
      <c r="J311" s="258"/>
      <c r="K311" s="258">
        <v>13161887386</v>
      </c>
      <c r="L311" s="277"/>
      <c r="Y311" s="466"/>
      <c r="Z311" s="466"/>
      <c r="AA311" s="466"/>
    </row>
    <row r="312" spans="1:27" s="189" customFormat="1" ht="15.75" customHeight="1" hidden="1">
      <c r="A312" s="185"/>
      <c r="B312" s="272"/>
      <c r="C312" s="191" t="s">
        <v>617</v>
      </c>
      <c r="D312" s="186"/>
      <c r="E312" s="186"/>
      <c r="F312" s="186"/>
      <c r="G312" s="186"/>
      <c r="H312" s="186"/>
      <c r="I312" s="184"/>
      <c r="J312" s="184"/>
      <c r="K312" s="184"/>
      <c r="L312" s="188"/>
      <c r="Y312" s="466"/>
      <c r="Z312" s="466"/>
      <c r="AA312" s="466"/>
    </row>
    <row r="313" spans="1:27" s="189" customFormat="1" ht="21" customHeight="1" thickBot="1">
      <c r="A313" s="223"/>
      <c r="B313" s="186"/>
      <c r="C313" s="186" t="s">
        <v>150</v>
      </c>
      <c r="D313" s="232"/>
      <c r="E313" s="232"/>
      <c r="F313" s="232"/>
      <c r="G313" s="232"/>
      <c r="H313" s="232"/>
      <c r="I313" s="254">
        <f>I304+I307</f>
        <v>15682014675</v>
      </c>
      <c r="J313" s="72"/>
      <c r="K313" s="254">
        <f>K304+K307</f>
        <v>22404874389</v>
      </c>
      <c r="L313" s="257">
        <f>I313-'[1]CDKT '!I31</f>
        <v>-2183000209</v>
      </c>
      <c r="M313" s="257">
        <f>K313-'[1]CDKT '!K31</f>
        <v>0</v>
      </c>
      <c r="Y313" s="466"/>
      <c r="Z313" s="466"/>
      <c r="AA313" s="466"/>
    </row>
    <row r="314" spans="1:27" s="189" customFormat="1" ht="30" customHeight="1" hidden="1">
      <c r="A314" s="185" t="s">
        <v>258</v>
      </c>
      <c r="B314" s="186" t="s">
        <v>618</v>
      </c>
      <c r="C314" s="186"/>
      <c r="D314" s="186"/>
      <c r="E314" s="186"/>
      <c r="F314" s="186"/>
      <c r="G314" s="278"/>
      <c r="H314" s="186"/>
      <c r="I314" s="187" t="str">
        <f>'[1]TTC'!D14</f>
        <v>30/06/2012</v>
      </c>
      <c r="J314" s="187"/>
      <c r="K314" s="187" t="str">
        <f>'[1]TTC'!D13</f>
        <v>01/01/2012</v>
      </c>
      <c r="L314" s="209"/>
      <c r="Y314" s="466"/>
      <c r="Z314" s="466"/>
      <c r="AA314" s="466"/>
    </row>
    <row r="315" spans="1:27" s="189" customFormat="1" ht="15.75" customHeight="1" hidden="1">
      <c r="A315" s="202"/>
      <c r="B315" s="189" t="s">
        <v>619</v>
      </c>
      <c r="C315" s="191"/>
      <c r="D315" s="191"/>
      <c r="E315" s="191"/>
      <c r="F315" s="191"/>
      <c r="G315" s="191"/>
      <c r="H315" s="191"/>
      <c r="I315" s="279"/>
      <c r="J315" s="184"/>
      <c r="K315" s="280"/>
      <c r="L315" s="188"/>
      <c r="Y315" s="466"/>
      <c r="Z315" s="466"/>
      <c r="AA315" s="466"/>
    </row>
    <row r="316" spans="1:27" s="189" customFormat="1" ht="21" customHeight="1" hidden="1">
      <c r="A316" s="223"/>
      <c r="B316" s="186"/>
      <c r="C316" s="186" t="s">
        <v>150</v>
      </c>
      <c r="D316" s="232"/>
      <c r="E316" s="232"/>
      <c r="F316" s="232"/>
      <c r="G316" s="232"/>
      <c r="H316" s="232"/>
      <c r="I316" s="254">
        <f>SUM(I315:I315)</f>
        <v>0</v>
      </c>
      <c r="J316" s="72"/>
      <c r="K316" s="254">
        <f>SUM(K315:K315)</f>
        <v>0</v>
      </c>
      <c r="L316" s="257">
        <f>I316-'[1]CDKT '!I46</f>
        <v>0</v>
      </c>
      <c r="M316" s="257">
        <f>K316-'[1]CDKT '!K46</f>
        <v>0</v>
      </c>
      <c r="Y316" s="466"/>
      <c r="Z316" s="466"/>
      <c r="AA316" s="466"/>
    </row>
    <row r="317" spans="1:27" s="189" customFormat="1" ht="30" customHeight="1" hidden="1">
      <c r="A317" s="185" t="s">
        <v>261</v>
      </c>
      <c r="B317" s="186" t="s">
        <v>620</v>
      </c>
      <c r="C317" s="186"/>
      <c r="D317" s="186"/>
      <c r="E317" s="186"/>
      <c r="F317" s="186"/>
      <c r="G317" s="186"/>
      <c r="H317" s="186"/>
      <c r="I317" s="248" t="str">
        <f>'[1]TTC'!D14</f>
        <v>30/06/2012</v>
      </c>
      <c r="J317" s="248">
        <v>0</v>
      </c>
      <c r="K317" s="248" t="str">
        <f>'[1]TTC'!D13</f>
        <v>01/01/2012</v>
      </c>
      <c r="L317" s="209"/>
      <c r="Y317" s="466"/>
      <c r="Z317" s="466"/>
      <c r="AA317" s="466"/>
    </row>
    <row r="318" spans="1:27" s="189" customFormat="1" ht="15.75" customHeight="1" hidden="1">
      <c r="A318" s="202"/>
      <c r="B318" s="264" t="s">
        <v>621</v>
      </c>
      <c r="C318" s="264"/>
      <c r="D318" s="191"/>
      <c r="E318" s="191"/>
      <c r="F318" s="191"/>
      <c r="G318" s="191"/>
      <c r="H318" s="191"/>
      <c r="I318" s="192"/>
      <c r="J318" s="192"/>
      <c r="K318" s="192"/>
      <c r="L318" s="188"/>
      <c r="Y318" s="466"/>
      <c r="Z318" s="466"/>
      <c r="AA318" s="466"/>
    </row>
    <row r="319" spans="1:27" s="189" customFormat="1" ht="15.75" customHeight="1" hidden="1">
      <c r="A319" s="202"/>
      <c r="B319" s="264" t="s">
        <v>622</v>
      </c>
      <c r="C319" s="264"/>
      <c r="D319" s="191"/>
      <c r="E319" s="191"/>
      <c r="F319" s="191"/>
      <c r="G319" s="191"/>
      <c r="H319" s="191"/>
      <c r="I319" s="192"/>
      <c r="J319" s="192"/>
      <c r="K319" s="192"/>
      <c r="L319" s="188"/>
      <c r="Y319" s="466"/>
      <c r="Z319" s="466"/>
      <c r="AA319" s="466"/>
    </row>
    <row r="320" spans="1:27" s="189" customFormat="1" ht="15.75" customHeight="1" hidden="1">
      <c r="A320" s="202"/>
      <c r="B320" s="264" t="s">
        <v>623</v>
      </c>
      <c r="C320" s="264"/>
      <c r="D320" s="191"/>
      <c r="E320" s="191"/>
      <c r="F320" s="191"/>
      <c r="G320" s="191"/>
      <c r="H320" s="191"/>
      <c r="I320" s="192"/>
      <c r="J320" s="192"/>
      <c r="K320" s="192"/>
      <c r="L320" s="188"/>
      <c r="Y320" s="466"/>
      <c r="Z320" s="466"/>
      <c r="AA320" s="466"/>
    </row>
    <row r="321" spans="1:27" s="189" customFormat="1" ht="15.75" customHeight="1" hidden="1">
      <c r="A321" s="202"/>
      <c r="B321" s="264" t="s">
        <v>620</v>
      </c>
      <c r="C321" s="264"/>
      <c r="D321" s="191"/>
      <c r="E321" s="191"/>
      <c r="F321" s="191"/>
      <c r="G321" s="191"/>
      <c r="H321" s="191"/>
      <c r="I321" s="192"/>
      <c r="J321" s="192"/>
      <c r="K321" s="192"/>
      <c r="L321" s="188"/>
      <c r="Y321" s="466"/>
      <c r="Z321" s="466"/>
      <c r="AA321" s="466"/>
    </row>
    <row r="322" spans="1:27" s="189" customFormat="1" ht="21" customHeight="1" hidden="1">
      <c r="A322" s="223"/>
      <c r="B322" s="186"/>
      <c r="C322" s="186" t="s">
        <v>150</v>
      </c>
      <c r="D322" s="232"/>
      <c r="E322" s="232"/>
      <c r="F322" s="232"/>
      <c r="G322" s="232"/>
      <c r="H322" s="232"/>
      <c r="I322" s="266">
        <f>SUM(I318:I321)</f>
        <v>0</v>
      </c>
      <c r="J322" s="187"/>
      <c r="K322" s="266">
        <f>SUM(K318:K321)</f>
        <v>0</v>
      </c>
      <c r="L322" s="257">
        <f>I322-'[1]CDKT '!I48</f>
        <v>0</v>
      </c>
      <c r="M322" s="257">
        <f>K322-'[1]CDKT '!K48</f>
        <v>0</v>
      </c>
      <c r="Y322" s="466"/>
      <c r="Z322" s="466"/>
      <c r="AA322" s="466"/>
    </row>
    <row r="323" spans="1:27" s="189" customFormat="1" ht="30" customHeight="1" hidden="1">
      <c r="A323" s="281" t="s">
        <v>426</v>
      </c>
      <c r="B323" s="282" t="s">
        <v>624</v>
      </c>
      <c r="C323" s="191"/>
      <c r="D323" s="191"/>
      <c r="E323" s="191"/>
      <c r="F323" s="191"/>
      <c r="G323" s="191"/>
      <c r="H323" s="191"/>
      <c r="I323" s="192"/>
      <c r="J323" s="192"/>
      <c r="K323" s="192"/>
      <c r="L323" s="188"/>
      <c r="Y323" s="466"/>
      <c r="Z323" s="466"/>
      <c r="AA323" s="466"/>
    </row>
    <row r="324" spans="1:27" s="189" customFormat="1" ht="30" customHeight="1" thickTop="1">
      <c r="A324" s="281" t="s">
        <v>258</v>
      </c>
      <c r="B324" s="282" t="s">
        <v>1077</v>
      </c>
      <c r="C324" s="191"/>
      <c r="D324" s="191"/>
      <c r="E324" s="191"/>
      <c r="F324" s="191"/>
      <c r="G324" s="191"/>
      <c r="H324" s="191"/>
      <c r="I324" s="192"/>
      <c r="J324" s="192"/>
      <c r="K324" s="192"/>
      <c r="L324" s="188"/>
      <c r="Y324" s="466"/>
      <c r="Z324" s="466"/>
      <c r="AA324" s="466"/>
    </row>
    <row r="325" spans="1:27" s="189" customFormat="1" ht="30.75" customHeight="1" hidden="1">
      <c r="A325" s="185"/>
      <c r="B325" s="283"/>
      <c r="C325" s="284" t="s">
        <v>156</v>
      </c>
      <c r="D325" s="285"/>
      <c r="E325" s="286" t="s">
        <v>625</v>
      </c>
      <c r="F325" s="285"/>
      <c r="G325" s="286" t="s">
        <v>157</v>
      </c>
      <c r="H325" s="186"/>
      <c r="I325" s="286" t="s">
        <v>158</v>
      </c>
      <c r="J325" s="187"/>
      <c r="K325" s="286" t="s">
        <v>626</v>
      </c>
      <c r="L325" s="209" t="s">
        <v>627</v>
      </c>
      <c r="Y325" s="466"/>
      <c r="Z325" s="466"/>
      <c r="AA325" s="466"/>
    </row>
    <row r="326" spans="1:27" s="189" customFormat="1" ht="24.75" customHeight="1" hidden="1">
      <c r="A326" s="185"/>
      <c r="B326" s="186" t="s">
        <v>628</v>
      </c>
      <c r="C326" s="287"/>
      <c r="D326" s="287"/>
      <c r="E326" s="288"/>
      <c r="F326" s="192"/>
      <c r="G326" s="192"/>
      <c r="H326" s="288"/>
      <c r="I326" s="192"/>
      <c r="J326" s="289"/>
      <c r="K326" s="290"/>
      <c r="L326" s="188"/>
      <c r="Y326" s="466"/>
      <c r="Z326" s="466"/>
      <c r="AA326" s="466"/>
    </row>
    <row r="327" spans="1:27" s="189" customFormat="1" ht="15.75" customHeight="1" hidden="1">
      <c r="A327" s="202"/>
      <c r="B327" s="191" t="s">
        <v>629</v>
      </c>
      <c r="C327" s="291"/>
      <c r="D327" s="291"/>
      <c r="E327" s="288">
        <v>2163224919</v>
      </c>
      <c r="F327" s="192"/>
      <c r="G327" s="192">
        <v>1886141353</v>
      </c>
      <c r="H327" s="288"/>
      <c r="I327" s="192">
        <v>3176853178</v>
      </c>
      <c r="J327" s="289"/>
      <c r="K327" s="187">
        <f>SUM(E327:J327)</f>
        <v>7226219450</v>
      </c>
      <c r="L327" s="257">
        <f>K327-'[1]CDKT '!K52</f>
        <v>-55732562775</v>
      </c>
      <c r="Y327" s="466"/>
      <c r="Z327" s="466"/>
      <c r="AA327" s="466"/>
    </row>
    <row r="328" spans="1:27" s="224" customFormat="1" ht="15.75" customHeight="1" hidden="1">
      <c r="A328" s="223"/>
      <c r="B328" s="232"/>
      <c r="C328" s="232" t="s">
        <v>23</v>
      </c>
      <c r="D328" s="292"/>
      <c r="E328" s="293"/>
      <c r="F328" s="234"/>
      <c r="G328" s="234">
        <v>96701069</v>
      </c>
      <c r="H328" s="293"/>
      <c r="I328" s="234"/>
      <c r="J328" s="294"/>
      <c r="K328" s="187">
        <f aca="true" t="shared" si="0" ref="K328:K333">SUM(E328:J328)</f>
        <v>96701069</v>
      </c>
      <c r="M328" s="224" t="s">
        <v>630</v>
      </c>
      <c r="Y328" s="672"/>
      <c r="Z328" s="672"/>
      <c r="AA328" s="672"/>
    </row>
    <row r="329" spans="1:27" s="224" customFormat="1" ht="15.75" customHeight="1" hidden="1">
      <c r="A329" s="223"/>
      <c r="B329" s="232"/>
      <c r="C329" s="232" t="s">
        <v>631</v>
      </c>
      <c r="D329" s="292"/>
      <c r="E329" s="292"/>
      <c r="F329" s="292"/>
      <c r="G329" s="292"/>
      <c r="H329" s="292"/>
      <c r="I329" s="294"/>
      <c r="J329" s="294"/>
      <c r="K329" s="187">
        <f t="shared" si="0"/>
        <v>0</v>
      </c>
      <c r="Y329" s="672"/>
      <c r="Z329" s="672"/>
      <c r="AA329" s="672"/>
    </row>
    <row r="330" spans="1:27" s="224" customFormat="1" ht="15.75" customHeight="1" hidden="1">
      <c r="A330" s="223"/>
      <c r="B330" s="232"/>
      <c r="C330" s="232" t="s">
        <v>632</v>
      </c>
      <c r="D330" s="292"/>
      <c r="E330" s="292"/>
      <c r="F330" s="292"/>
      <c r="G330" s="292"/>
      <c r="H330" s="292"/>
      <c r="I330" s="234"/>
      <c r="J330" s="294"/>
      <c r="K330" s="187">
        <f t="shared" si="0"/>
        <v>0</v>
      </c>
      <c r="Y330" s="672"/>
      <c r="Z330" s="672"/>
      <c r="AA330" s="672"/>
    </row>
    <row r="331" spans="1:27" s="224" customFormat="1" ht="15.75" customHeight="1" hidden="1">
      <c r="A331" s="223"/>
      <c r="B331" s="232"/>
      <c r="C331" s="232" t="s">
        <v>633</v>
      </c>
      <c r="D331" s="292"/>
      <c r="E331" s="292"/>
      <c r="F331" s="292"/>
      <c r="G331" s="292"/>
      <c r="H331" s="292"/>
      <c r="I331" s="294"/>
      <c r="J331" s="294"/>
      <c r="K331" s="187">
        <f t="shared" si="0"/>
        <v>0</v>
      </c>
      <c r="Y331" s="672"/>
      <c r="Z331" s="672"/>
      <c r="AA331" s="672"/>
    </row>
    <row r="332" spans="1:27" s="224" customFormat="1" ht="15.75" customHeight="1" hidden="1">
      <c r="A332" s="223"/>
      <c r="B332" s="232"/>
      <c r="C332" s="232" t="s">
        <v>116</v>
      </c>
      <c r="D332" s="292"/>
      <c r="E332" s="293"/>
      <c r="F332" s="234"/>
      <c r="G332" s="234"/>
      <c r="H332" s="293"/>
      <c r="I332" s="234"/>
      <c r="J332" s="294"/>
      <c r="K332" s="187">
        <f t="shared" si="0"/>
        <v>0</v>
      </c>
      <c r="Y332" s="672"/>
      <c r="Z332" s="672"/>
      <c r="AA332" s="672"/>
    </row>
    <row r="333" spans="1:27" s="224" customFormat="1" ht="15.75" customHeight="1" hidden="1">
      <c r="A333" s="223"/>
      <c r="B333" s="232"/>
      <c r="C333" s="295" t="s">
        <v>634</v>
      </c>
      <c r="D333" s="292"/>
      <c r="E333" s="292"/>
      <c r="F333" s="292"/>
      <c r="G333" s="292"/>
      <c r="H333" s="292"/>
      <c r="I333" s="294"/>
      <c r="J333" s="294"/>
      <c r="K333" s="187">
        <f t="shared" si="0"/>
        <v>0</v>
      </c>
      <c r="Y333" s="672"/>
      <c r="Z333" s="672"/>
      <c r="AA333" s="672"/>
    </row>
    <row r="334" spans="1:27" s="189" customFormat="1" ht="15.75" customHeight="1" hidden="1">
      <c r="A334" s="202"/>
      <c r="B334" s="296" t="s">
        <v>24</v>
      </c>
      <c r="C334" s="297"/>
      <c r="D334" s="291"/>
      <c r="E334" s="297">
        <f>E327+E328+E329+E330-E331-E332-E333</f>
        <v>2163224919</v>
      </c>
      <c r="F334" s="291"/>
      <c r="G334" s="297">
        <f>G327+G328+G329+G330-G331-G332-G333</f>
        <v>1982842422</v>
      </c>
      <c r="H334" s="291"/>
      <c r="I334" s="297">
        <f>I327+I328+I329+I330-I331-I332-I333</f>
        <v>3176853178</v>
      </c>
      <c r="J334" s="289"/>
      <c r="K334" s="298">
        <f>SUM(E334:J334)</f>
        <v>7322920519</v>
      </c>
      <c r="L334" s="257">
        <f>K334-'[1]CDKT '!I52</f>
        <v>-55752287160</v>
      </c>
      <c r="Y334" s="466"/>
      <c r="Z334" s="466"/>
      <c r="AA334" s="466"/>
    </row>
    <row r="335" spans="1:27" s="189" customFormat="1" ht="24.75" customHeight="1" hidden="1">
      <c r="A335" s="185"/>
      <c r="B335" s="186" t="s">
        <v>635</v>
      </c>
      <c r="C335" s="287"/>
      <c r="D335" s="287"/>
      <c r="E335" s="288"/>
      <c r="F335" s="192"/>
      <c r="G335" s="192"/>
      <c r="H335" s="288"/>
      <c r="I335" s="192"/>
      <c r="J335" s="289"/>
      <c r="K335" s="290"/>
      <c r="L335" s="188"/>
      <c r="Y335" s="466"/>
      <c r="Z335" s="466"/>
      <c r="AA335" s="466"/>
    </row>
    <row r="336" spans="1:27" s="189" customFormat="1" ht="15.75" customHeight="1" hidden="1">
      <c r="A336" s="202"/>
      <c r="B336" s="191" t="s">
        <v>629</v>
      </c>
      <c r="C336" s="299"/>
      <c r="D336" s="299"/>
      <c r="E336" s="288"/>
      <c r="F336" s="192"/>
      <c r="G336" s="192"/>
      <c r="H336" s="288"/>
      <c r="I336" s="192"/>
      <c r="J336" s="192"/>
      <c r="K336" s="300">
        <f aca="true" t="shared" si="1" ref="K336:K342">SUM(E336:J336)</f>
        <v>0</v>
      </c>
      <c r="L336" s="257">
        <f>K336-'[1]CDKT '!K53</f>
        <v>7801987829</v>
      </c>
      <c r="Y336" s="466"/>
      <c r="Z336" s="466"/>
      <c r="AA336" s="466"/>
    </row>
    <row r="337" spans="1:27" s="224" customFormat="1" ht="15.75" customHeight="1" hidden="1">
      <c r="A337" s="223"/>
      <c r="B337" s="232"/>
      <c r="C337" s="232" t="s">
        <v>25</v>
      </c>
      <c r="D337" s="301"/>
      <c r="E337" s="293"/>
      <c r="F337" s="234"/>
      <c r="G337" s="234"/>
      <c r="H337" s="293"/>
      <c r="I337" s="234"/>
      <c r="J337" s="234"/>
      <c r="K337" s="300">
        <f t="shared" si="1"/>
        <v>0</v>
      </c>
      <c r="Y337" s="672"/>
      <c r="Z337" s="672"/>
      <c r="AA337" s="672"/>
    </row>
    <row r="338" spans="1:27" s="224" customFormat="1" ht="15.75" customHeight="1" hidden="1">
      <c r="A338" s="223"/>
      <c r="B338" s="232"/>
      <c r="C338" s="232" t="s">
        <v>632</v>
      </c>
      <c r="D338" s="301"/>
      <c r="E338" s="301"/>
      <c r="F338" s="301"/>
      <c r="G338" s="301"/>
      <c r="H338" s="293"/>
      <c r="I338" s="234"/>
      <c r="J338" s="234"/>
      <c r="K338" s="300">
        <f t="shared" si="1"/>
        <v>0</v>
      </c>
      <c r="Y338" s="672"/>
      <c r="Z338" s="672"/>
      <c r="AA338" s="672"/>
    </row>
    <row r="339" spans="1:27" s="224" customFormat="1" ht="15.75" customHeight="1" hidden="1">
      <c r="A339" s="223"/>
      <c r="B339" s="232"/>
      <c r="C339" s="232" t="s">
        <v>633</v>
      </c>
      <c r="D339" s="301"/>
      <c r="E339" s="301"/>
      <c r="F339" s="301"/>
      <c r="G339" s="301"/>
      <c r="H339" s="293"/>
      <c r="I339" s="234"/>
      <c r="J339" s="234"/>
      <c r="K339" s="300">
        <f t="shared" si="1"/>
        <v>0</v>
      </c>
      <c r="Y339" s="672"/>
      <c r="Z339" s="672"/>
      <c r="AA339" s="672"/>
    </row>
    <row r="340" spans="1:27" s="224" customFormat="1" ht="15.75" customHeight="1" hidden="1">
      <c r="A340" s="223"/>
      <c r="B340" s="232"/>
      <c r="C340" s="232" t="s">
        <v>116</v>
      </c>
      <c r="D340" s="301"/>
      <c r="E340" s="301"/>
      <c r="F340" s="301"/>
      <c r="G340" s="301"/>
      <c r="H340" s="293"/>
      <c r="I340" s="234"/>
      <c r="J340" s="234"/>
      <c r="K340" s="300">
        <f t="shared" si="1"/>
        <v>0</v>
      </c>
      <c r="Y340" s="672"/>
      <c r="Z340" s="672"/>
      <c r="AA340" s="672"/>
    </row>
    <row r="341" spans="1:27" s="224" customFormat="1" ht="15.75" customHeight="1" hidden="1">
      <c r="A341" s="223"/>
      <c r="B341" s="232"/>
      <c r="C341" s="295" t="s">
        <v>634</v>
      </c>
      <c r="D341" s="301"/>
      <c r="E341" s="293"/>
      <c r="F341" s="234"/>
      <c r="G341" s="234"/>
      <c r="H341" s="293"/>
      <c r="I341" s="234"/>
      <c r="J341" s="234"/>
      <c r="K341" s="300">
        <f t="shared" si="1"/>
        <v>0</v>
      </c>
      <c r="Y341" s="672"/>
      <c r="Z341" s="672"/>
      <c r="AA341" s="672"/>
    </row>
    <row r="342" spans="1:27" s="189" customFormat="1" ht="15.75" customHeight="1" hidden="1">
      <c r="A342" s="202"/>
      <c r="B342" s="296" t="s">
        <v>24</v>
      </c>
      <c r="C342" s="302"/>
      <c r="D342" s="299"/>
      <c r="E342" s="302">
        <f>E336+E337+E338-E339-E340-E341</f>
        <v>0</v>
      </c>
      <c r="F342" s="299"/>
      <c r="G342" s="302">
        <f>G336+G337+G338-G339-G340-G341</f>
        <v>0</v>
      </c>
      <c r="H342" s="299"/>
      <c r="I342" s="302">
        <f>I336+I337+I338-I339-I340-I341</f>
        <v>0</v>
      </c>
      <c r="J342" s="192"/>
      <c r="K342" s="303">
        <f t="shared" si="1"/>
        <v>0</v>
      </c>
      <c r="L342" s="257">
        <f>K342-'[1]CDKT '!I53</f>
        <v>10373497313</v>
      </c>
      <c r="Y342" s="466"/>
      <c r="Z342" s="466"/>
      <c r="AA342" s="466"/>
    </row>
    <row r="343" spans="1:27" s="189" customFormat="1" ht="24.75" customHeight="1" hidden="1">
      <c r="A343" s="185"/>
      <c r="B343" s="186" t="s">
        <v>26</v>
      </c>
      <c r="C343" s="287"/>
      <c r="D343" s="287"/>
      <c r="E343" s="288"/>
      <c r="F343" s="192"/>
      <c r="G343" s="192"/>
      <c r="H343" s="288"/>
      <c r="I343" s="192"/>
      <c r="J343" s="289"/>
      <c r="K343" s="290"/>
      <c r="L343" s="188"/>
      <c r="Y343" s="466"/>
      <c r="Z343" s="466"/>
      <c r="AA343" s="466"/>
    </row>
    <row r="344" spans="1:27" s="189" customFormat="1" ht="15.75" customHeight="1" hidden="1">
      <c r="A344" s="202"/>
      <c r="B344" s="219" t="s">
        <v>629</v>
      </c>
      <c r="C344" s="299"/>
      <c r="D344" s="299"/>
      <c r="E344" s="299">
        <f>E327-E336</f>
        <v>2163224919</v>
      </c>
      <c r="F344" s="299"/>
      <c r="G344" s="299">
        <f>G327-G336</f>
        <v>1886141353</v>
      </c>
      <c r="H344" s="299">
        <v>0</v>
      </c>
      <c r="I344" s="299">
        <f>I327-I336</f>
        <v>3176853178</v>
      </c>
      <c r="J344" s="192">
        <v>0</v>
      </c>
      <c r="K344" s="300">
        <f>SUM(E344:J344)</f>
        <v>7226219450</v>
      </c>
      <c r="L344" s="257">
        <f>K344-'[1]CDKT '!K51</f>
        <v>-47930574946</v>
      </c>
      <c r="Y344" s="466"/>
      <c r="Z344" s="466"/>
      <c r="AA344" s="466"/>
    </row>
    <row r="345" spans="1:27" s="189" customFormat="1" ht="15.75" customHeight="1" hidden="1">
      <c r="A345" s="202"/>
      <c r="B345" s="304" t="s">
        <v>24</v>
      </c>
      <c r="C345" s="305"/>
      <c r="D345" s="299"/>
      <c r="E345" s="305">
        <f>E334-E342</f>
        <v>2163224919</v>
      </c>
      <c r="F345" s="299"/>
      <c r="G345" s="305">
        <f>G334-G342</f>
        <v>1982842422</v>
      </c>
      <c r="H345" s="299">
        <v>0</v>
      </c>
      <c r="I345" s="305">
        <f>I334-I342</f>
        <v>3176853178</v>
      </c>
      <c r="J345" s="192">
        <v>0</v>
      </c>
      <c r="K345" s="306">
        <f>SUM(E345:J345)</f>
        <v>7322920519</v>
      </c>
      <c r="L345" s="257">
        <f>K345-'[1]CDKT '!I50</f>
        <v>-51315301833</v>
      </c>
      <c r="Y345" s="466"/>
      <c r="Z345" s="466"/>
      <c r="AA345" s="466"/>
    </row>
    <row r="346" spans="1:27" s="189" customFormat="1" ht="15" customHeight="1" hidden="1">
      <c r="A346" s="202"/>
      <c r="B346" s="191"/>
      <c r="C346" s="191"/>
      <c r="D346" s="191"/>
      <c r="E346" s="191"/>
      <c r="F346" s="219"/>
      <c r="G346" s="191"/>
      <c r="H346" s="219"/>
      <c r="I346" s="192"/>
      <c r="J346" s="192"/>
      <c r="K346" s="192"/>
      <c r="L346" s="188"/>
      <c r="Y346" s="466"/>
      <c r="Z346" s="466"/>
      <c r="AA346" s="466"/>
    </row>
    <row r="347" spans="1:27" s="189" customFormat="1" ht="17.25" customHeight="1" hidden="1">
      <c r="A347" s="202"/>
      <c r="B347" s="219" t="s">
        <v>636</v>
      </c>
      <c r="C347" s="307"/>
      <c r="D347" s="307"/>
      <c r="E347" s="307"/>
      <c r="F347" s="307"/>
      <c r="G347" s="307"/>
      <c r="H347" s="307"/>
      <c r="I347" s="307"/>
      <c r="J347" s="307"/>
      <c r="K347" s="307"/>
      <c r="L347" s="188"/>
      <c r="Y347" s="466"/>
      <c r="Z347" s="466"/>
      <c r="AA347" s="466"/>
    </row>
    <row r="348" spans="1:27" s="189" customFormat="1" ht="12.75" customHeight="1" hidden="1">
      <c r="A348" s="202"/>
      <c r="B348" s="219" t="s">
        <v>637</v>
      </c>
      <c r="C348" s="307"/>
      <c r="D348" s="307"/>
      <c r="E348" s="307"/>
      <c r="F348" s="307"/>
      <c r="G348" s="307"/>
      <c r="H348" s="307"/>
      <c r="I348" s="307"/>
      <c r="J348" s="307"/>
      <c r="K348" s="307"/>
      <c r="L348" s="188"/>
      <c r="Y348" s="466"/>
      <c r="Z348" s="466"/>
      <c r="AA348" s="466"/>
    </row>
    <row r="349" spans="1:27" s="189" customFormat="1" ht="12.75" customHeight="1" hidden="1">
      <c r="A349" s="202"/>
      <c r="B349" s="191" t="s">
        <v>638</v>
      </c>
      <c r="C349" s="191"/>
      <c r="D349" s="191"/>
      <c r="E349" s="191"/>
      <c r="F349" s="191"/>
      <c r="G349" s="191"/>
      <c r="H349" s="191"/>
      <c r="I349" s="191"/>
      <c r="J349" s="191"/>
      <c r="K349" s="191"/>
      <c r="L349" s="188"/>
      <c r="Y349" s="466"/>
      <c r="Z349" s="466"/>
      <c r="AA349" s="466"/>
    </row>
    <row r="350" spans="1:27" s="189" customFormat="1" ht="12.75" customHeight="1" hidden="1">
      <c r="A350" s="202"/>
      <c r="B350" s="191" t="s">
        <v>639</v>
      </c>
      <c r="C350" s="191"/>
      <c r="D350" s="191"/>
      <c r="E350" s="191"/>
      <c r="F350" s="191"/>
      <c r="G350" s="191"/>
      <c r="H350" s="191"/>
      <c r="I350" s="191"/>
      <c r="J350" s="191"/>
      <c r="K350" s="191"/>
      <c r="L350" s="188"/>
      <c r="Y350" s="466"/>
      <c r="Z350" s="466"/>
      <c r="AA350" s="466"/>
    </row>
    <row r="351" spans="1:27" s="189" customFormat="1" ht="12.75" customHeight="1" hidden="1">
      <c r="A351" s="202"/>
      <c r="B351" s="191" t="s">
        <v>640</v>
      </c>
      <c r="C351" s="191"/>
      <c r="D351" s="191"/>
      <c r="E351" s="191"/>
      <c r="F351" s="191"/>
      <c r="G351" s="191"/>
      <c r="H351" s="191"/>
      <c r="I351" s="191"/>
      <c r="J351" s="191"/>
      <c r="K351" s="191"/>
      <c r="L351" s="188"/>
      <c r="Y351" s="466"/>
      <c r="Z351" s="466"/>
      <c r="AA351" s="466"/>
    </row>
    <row r="352" spans="1:27" s="189" customFormat="1" ht="30" customHeight="1" hidden="1">
      <c r="A352" s="281" t="s">
        <v>442</v>
      </c>
      <c r="B352" s="282" t="s">
        <v>641</v>
      </c>
      <c r="C352" s="191"/>
      <c r="D352" s="191"/>
      <c r="E352" s="191"/>
      <c r="F352" s="191"/>
      <c r="G352" s="191"/>
      <c r="H352" s="191"/>
      <c r="I352" s="192"/>
      <c r="J352" s="192"/>
      <c r="K352" s="192"/>
      <c r="L352" s="188"/>
      <c r="Y352" s="466"/>
      <c r="Z352" s="466"/>
      <c r="AA352" s="466"/>
    </row>
    <row r="353" spans="1:27" s="189" customFormat="1" ht="30.75" customHeight="1" hidden="1">
      <c r="A353" s="185"/>
      <c r="B353" s="283"/>
      <c r="C353" s="284"/>
      <c r="D353" s="285"/>
      <c r="E353" s="286" t="s">
        <v>625</v>
      </c>
      <c r="F353" s="285"/>
      <c r="G353" s="286" t="s">
        <v>157</v>
      </c>
      <c r="H353" s="186"/>
      <c r="I353" s="286" t="s">
        <v>158</v>
      </c>
      <c r="J353" s="187"/>
      <c r="K353" s="286" t="s">
        <v>626</v>
      </c>
      <c r="L353" s="209"/>
      <c r="Y353" s="466"/>
      <c r="Z353" s="466"/>
      <c r="AA353" s="466"/>
    </row>
    <row r="354" spans="1:27" s="189" customFormat="1" ht="15" customHeight="1" hidden="1">
      <c r="A354" s="185"/>
      <c r="B354" s="240"/>
      <c r="C354" s="285"/>
      <c r="D354" s="285"/>
      <c r="E354" s="285"/>
      <c r="F354" s="285"/>
      <c r="G354" s="285"/>
      <c r="H354" s="186"/>
      <c r="I354" s="308"/>
      <c r="J354" s="187"/>
      <c r="K354" s="308"/>
      <c r="L354" s="188"/>
      <c r="Y354" s="466"/>
      <c r="Z354" s="466"/>
      <c r="AA354" s="466"/>
    </row>
    <row r="355" spans="1:27" s="189" customFormat="1" ht="15" customHeight="1" hidden="1">
      <c r="A355" s="185"/>
      <c r="B355" s="186" t="s">
        <v>628</v>
      </c>
      <c r="C355" s="309"/>
      <c r="D355" s="309"/>
      <c r="E355" s="309"/>
      <c r="F355" s="309"/>
      <c r="G355" s="309"/>
      <c r="H355" s="309"/>
      <c r="I355" s="187"/>
      <c r="J355" s="187"/>
      <c r="K355" s="187"/>
      <c r="L355" s="188"/>
      <c r="Y355" s="466"/>
      <c r="Z355" s="466"/>
      <c r="AA355" s="466"/>
    </row>
    <row r="356" spans="1:27" s="189" customFormat="1" ht="15" customHeight="1" hidden="1">
      <c r="A356" s="202"/>
      <c r="B356" s="191" t="s">
        <v>629</v>
      </c>
      <c r="C356" s="299"/>
      <c r="D356" s="299"/>
      <c r="E356" s="299"/>
      <c r="F356" s="299"/>
      <c r="G356" s="299"/>
      <c r="H356" s="299"/>
      <c r="I356" s="192"/>
      <c r="J356" s="192"/>
      <c r="K356" s="187">
        <f aca="true" t="shared" si="2" ref="K356:K362">SUM(E356:J356)</f>
        <v>0</v>
      </c>
      <c r="L356" s="188"/>
      <c r="Y356" s="466"/>
      <c r="Z356" s="466"/>
      <c r="AA356" s="466"/>
    </row>
    <row r="357" spans="1:27" s="224" customFormat="1" ht="12.75" customHeight="1" hidden="1">
      <c r="A357" s="223"/>
      <c r="B357" s="232"/>
      <c r="C357" s="232" t="s">
        <v>642</v>
      </c>
      <c r="D357" s="301"/>
      <c r="E357" s="301"/>
      <c r="F357" s="301"/>
      <c r="G357" s="301"/>
      <c r="H357" s="301"/>
      <c r="I357" s="234"/>
      <c r="J357" s="234"/>
      <c r="K357" s="187">
        <f t="shared" si="2"/>
        <v>0</v>
      </c>
      <c r="Y357" s="672"/>
      <c r="Z357" s="672"/>
      <c r="AA357" s="672"/>
    </row>
    <row r="358" spans="1:27" s="224" customFormat="1" ht="15" customHeight="1" hidden="1">
      <c r="A358" s="223"/>
      <c r="B358" s="232"/>
      <c r="C358" s="232" t="s">
        <v>643</v>
      </c>
      <c r="D358" s="301"/>
      <c r="E358" s="301"/>
      <c r="F358" s="301"/>
      <c r="G358" s="301"/>
      <c r="H358" s="301"/>
      <c r="I358" s="234"/>
      <c r="J358" s="234"/>
      <c r="K358" s="187">
        <f t="shared" si="2"/>
        <v>0</v>
      </c>
      <c r="Y358" s="672"/>
      <c r="Z358" s="672"/>
      <c r="AA358" s="672"/>
    </row>
    <row r="359" spans="1:27" s="224" customFormat="1" ht="12.75" customHeight="1" hidden="1">
      <c r="A359" s="223"/>
      <c r="B359" s="232"/>
      <c r="C359" s="232" t="s">
        <v>632</v>
      </c>
      <c r="D359" s="301"/>
      <c r="E359" s="301"/>
      <c r="F359" s="301"/>
      <c r="G359" s="301"/>
      <c r="H359" s="301"/>
      <c r="I359" s="234"/>
      <c r="J359" s="234"/>
      <c r="K359" s="187">
        <f t="shared" si="2"/>
        <v>0</v>
      </c>
      <c r="Y359" s="672"/>
      <c r="Z359" s="672"/>
      <c r="AA359" s="672"/>
    </row>
    <row r="360" spans="1:27" s="224" customFormat="1" ht="12.75" customHeight="1" hidden="1">
      <c r="A360" s="223"/>
      <c r="B360" s="232"/>
      <c r="C360" s="232" t="s">
        <v>644</v>
      </c>
      <c r="D360" s="301"/>
      <c r="E360" s="301"/>
      <c r="F360" s="301"/>
      <c r="G360" s="301"/>
      <c r="H360" s="301"/>
      <c r="I360" s="234"/>
      <c r="J360" s="234"/>
      <c r="K360" s="187">
        <f t="shared" si="2"/>
        <v>0</v>
      </c>
      <c r="Y360" s="672"/>
      <c r="Z360" s="672"/>
      <c r="AA360" s="672"/>
    </row>
    <row r="361" spans="1:27" s="224" customFormat="1" ht="12.75" customHeight="1" hidden="1">
      <c r="A361" s="223"/>
      <c r="B361" s="295"/>
      <c r="C361" s="295" t="s">
        <v>634</v>
      </c>
      <c r="D361" s="301"/>
      <c r="E361" s="301"/>
      <c r="F361" s="301"/>
      <c r="G361" s="301"/>
      <c r="H361" s="301"/>
      <c r="I361" s="234"/>
      <c r="J361" s="234"/>
      <c r="K361" s="187">
        <f t="shared" si="2"/>
        <v>0</v>
      </c>
      <c r="Y361" s="672"/>
      <c r="Z361" s="672"/>
      <c r="AA361" s="672"/>
    </row>
    <row r="362" spans="1:27" s="189" customFormat="1" ht="15" customHeight="1" hidden="1">
      <c r="A362" s="202"/>
      <c r="B362" s="296" t="s">
        <v>24</v>
      </c>
      <c r="C362" s="302"/>
      <c r="D362" s="299"/>
      <c r="E362" s="310">
        <f>E356+E357-E358+E359-E360-E361</f>
        <v>0</v>
      </c>
      <c r="F362" s="299"/>
      <c r="G362" s="310">
        <f>G356+G357-G358+G359-G360-G361</f>
        <v>0</v>
      </c>
      <c r="H362" s="299"/>
      <c r="I362" s="310">
        <f>I356+I357-I358+I359-I360-I361</f>
        <v>0</v>
      </c>
      <c r="J362" s="192"/>
      <c r="K362" s="298">
        <f t="shared" si="2"/>
        <v>0</v>
      </c>
      <c r="L362" s="188"/>
      <c r="Y362" s="466"/>
      <c r="Z362" s="466"/>
      <c r="AA362" s="466"/>
    </row>
    <row r="363" spans="1:27" s="189" customFormat="1" ht="15" customHeight="1" hidden="1">
      <c r="A363" s="185"/>
      <c r="B363" s="240"/>
      <c r="C363" s="285"/>
      <c r="D363" s="285"/>
      <c r="E363" s="285"/>
      <c r="F363" s="285"/>
      <c r="G363" s="285"/>
      <c r="H363" s="186"/>
      <c r="I363" s="308"/>
      <c r="J363" s="187"/>
      <c r="K363" s="308"/>
      <c r="L363" s="188"/>
      <c r="Y363" s="466"/>
      <c r="Z363" s="466"/>
      <c r="AA363" s="466"/>
    </row>
    <row r="364" spans="1:27" s="189" customFormat="1" ht="15" customHeight="1" hidden="1">
      <c r="A364" s="185"/>
      <c r="B364" s="186" t="s">
        <v>635</v>
      </c>
      <c r="C364" s="309"/>
      <c r="D364" s="309"/>
      <c r="E364" s="309"/>
      <c r="F364" s="309"/>
      <c r="G364" s="309"/>
      <c r="H364" s="309"/>
      <c r="I364" s="187"/>
      <c r="J364" s="187"/>
      <c r="K364" s="187"/>
      <c r="L364" s="188"/>
      <c r="Y364" s="466"/>
      <c r="Z364" s="466"/>
      <c r="AA364" s="466"/>
    </row>
    <row r="365" spans="1:27" s="189" customFormat="1" ht="15" customHeight="1" hidden="1">
      <c r="A365" s="202"/>
      <c r="B365" s="191" t="s">
        <v>629</v>
      </c>
      <c r="C365" s="299"/>
      <c r="D365" s="299"/>
      <c r="E365" s="299"/>
      <c r="F365" s="299"/>
      <c r="G365" s="299"/>
      <c r="H365" s="299"/>
      <c r="I365" s="192"/>
      <c r="J365" s="192"/>
      <c r="K365" s="187">
        <f aca="true" t="shared" si="3" ref="K365:K371">SUM(E365:J365)</f>
        <v>0</v>
      </c>
      <c r="L365" s="188"/>
      <c r="Y365" s="466"/>
      <c r="Z365" s="466"/>
      <c r="AA365" s="466"/>
    </row>
    <row r="366" spans="1:27" s="189" customFormat="1" ht="15" customHeight="1" hidden="1">
      <c r="A366" s="223"/>
      <c r="B366" s="232"/>
      <c r="C366" s="232" t="s">
        <v>25</v>
      </c>
      <c r="D366" s="301"/>
      <c r="E366" s="301"/>
      <c r="F366" s="301"/>
      <c r="G366" s="301"/>
      <c r="H366" s="301"/>
      <c r="I366" s="234"/>
      <c r="J366" s="234"/>
      <c r="K366" s="187">
        <f t="shared" si="3"/>
        <v>0</v>
      </c>
      <c r="L366" s="188"/>
      <c r="Y366" s="466"/>
      <c r="Z366" s="466"/>
      <c r="AA366" s="466"/>
    </row>
    <row r="367" spans="1:27" s="189" customFormat="1" ht="12.75" customHeight="1" hidden="1">
      <c r="A367" s="223"/>
      <c r="B367" s="232"/>
      <c r="C367" s="232" t="s">
        <v>645</v>
      </c>
      <c r="D367" s="301"/>
      <c r="E367" s="301"/>
      <c r="F367" s="301"/>
      <c r="G367" s="301"/>
      <c r="H367" s="301"/>
      <c r="I367" s="234"/>
      <c r="J367" s="234"/>
      <c r="K367" s="187">
        <f t="shared" si="3"/>
        <v>0</v>
      </c>
      <c r="L367" s="188"/>
      <c r="Y367" s="466"/>
      <c r="Z367" s="466"/>
      <c r="AA367" s="466"/>
    </row>
    <row r="368" spans="1:27" s="189" customFormat="1" ht="12.75" customHeight="1" hidden="1">
      <c r="A368" s="223"/>
      <c r="B368" s="232"/>
      <c r="C368" s="232" t="s">
        <v>632</v>
      </c>
      <c r="D368" s="301"/>
      <c r="E368" s="301"/>
      <c r="F368" s="301"/>
      <c r="G368" s="301"/>
      <c r="H368" s="301"/>
      <c r="I368" s="234"/>
      <c r="J368" s="234"/>
      <c r="K368" s="187">
        <f t="shared" si="3"/>
        <v>0</v>
      </c>
      <c r="L368" s="188"/>
      <c r="Y368" s="466"/>
      <c r="Z368" s="466"/>
      <c r="AA368" s="466"/>
    </row>
    <row r="369" spans="1:27" s="189" customFormat="1" ht="12.75" customHeight="1" hidden="1">
      <c r="A369" s="223"/>
      <c r="B369" s="232"/>
      <c r="C369" s="232" t="s">
        <v>644</v>
      </c>
      <c r="D369" s="301"/>
      <c r="E369" s="301"/>
      <c r="F369" s="301"/>
      <c r="G369" s="301"/>
      <c r="H369" s="301"/>
      <c r="I369" s="234"/>
      <c r="J369" s="234"/>
      <c r="K369" s="187">
        <f t="shared" si="3"/>
        <v>0</v>
      </c>
      <c r="L369" s="188"/>
      <c r="Y369" s="466"/>
      <c r="Z369" s="466"/>
      <c r="AA369" s="466"/>
    </row>
    <row r="370" spans="1:27" s="189" customFormat="1" ht="15" customHeight="1" hidden="1">
      <c r="A370" s="223"/>
      <c r="B370" s="232"/>
      <c r="C370" s="232" t="s">
        <v>643</v>
      </c>
      <c r="D370" s="301"/>
      <c r="E370" s="301"/>
      <c r="F370" s="301"/>
      <c r="G370" s="301"/>
      <c r="H370" s="301"/>
      <c r="I370" s="234"/>
      <c r="J370" s="234"/>
      <c r="K370" s="187">
        <f t="shared" si="3"/>
        <v>0</v>
      </c>
      <c r="L370" s="188"/>
      <c r="Y370" s="466"/>
      <c r="Z370" s="466"/>
      <c r="AA370" s="466"/>
    </row>
    <row r="371" spans="1:27" s="189" customFormat="1" ht="15" customHeight="1" hidden="1">
      <c r="A371" s="202"/>
      <c r="B371" s="296" t="s">
        <v>24</v>
      </c>
      <c r="C371" s="302"/>
      <c r="D371" s="299"/>
      <c r="E371" s="310">
        <f>E365+E366+E367+E368-E369-E370</f>
        <v>0</v>
      </c>
      <c r="F371" s="299"/>
      <c r="G371" s="310">
        <f>G365+G366+G367+G368-G369-G370</f>
        <v>0</v>
      </c>
      <c r="H371" s="299"/>
      <c r="I371" s="310">
        <f>I365+I366+I367+I368-I369-I370</f>
        <v>0</v>
      </c>
      <c r="J371" s="192"/>
      <c r="K371" s="298">
        <f t="shared" si="3"/>
        <v>0</v>
      </c>
      <c r="L371" s="188"/>
      <c r="Y371" s="466"/>
      <c r="Z371" s="466"/>
      <c r="AA371" s="466"/>
    </row>
    <row r="372" spans="1:27" s="189" customFormat="1" ht="15" customHeight="1" hidden="1">
      <c r="A372" s="185"/>
      <c r="B372" s="240"/>
      <c r="C372" s="285"/>
      <c r="D372" s="285"/>
      <c r="E372" s="285"/>
      <c r="F372" s="285"/>
      <c r="G372" s="285"/>
      <c r="H372" s="240"/>
      <c r="I372" s="308"/>
      <c r="J372" s="187"/>
      <c r="K372" s="308"/>
      <c r="L372" s="188"/>
      <c r="Y372" s="466"/>
      <c r="Z372" s="466"/>
      <c r="AA372" s="466"/>
    </row>
    <row r="373" spans="1:27" s="189" customFormat="1" ht="15" customHeight="1" hidden="1">
      <c r="A373" s="185"/>
      <c r="B373" s="186" t="s">
        <v>646</v>
      </c>
      <c r="C373" s="207"/>
      <c r="D373" s="309"/>
      <c r="E373" s="309"/>
      <c r="F373" s="309"/>
      <c r="G373" s="309"/>
      <c r="H373" s="309"/>
      <c r="I373" s="187"/>
      <c r="J373" s="187"/>
      <c r="K373" s="187"/>
      <c r="L373" s="188"/>
      <c r="Y373" s="466"/>
      <c r="Z373" s="466"/>
      <c r="AA373" s="466"/>
    </row>
    <row r="374" spans="1:27" s="189" customFormat="1" ht="15" customHeight="1" hidden="1">
      <c r="A374" s="202"/>
      <c r="B374" s="191" t="s">
        <v>647</v>
      </c>
      <c r="C374" s="311"/>
      <c r="D374" s="299"/>
      <c r="E374" s="192">
        <f>E356-E365</f>
        <v>0</v>
      </c>
      <c r="F374" s="299"/>
      <c r="G374" s="192">
        <f>G356-G365</f>
        <v>0</v>
      </c>
      <c r="H374" s="299"/>
      <c r="I374" s="192">
        <f>I356-I365</f>
        <v>0</v>
      </c>
      <c r="J374" s="192"/>
      <c r="K374" s="187">
        <f>K356-K365</f>
        <v>0</v>
      </c>
      <c r="L374" s="257">
        <f>K374-'[1]CDKT '!K54</f>
        <v>0</v>
      </c>
      <c r="Y374" s="466"/>
      <c r="Z374" s="466"/>
      <c r="AA374" s="466"/>
    </row>
    <row r="375" spans="1:27" s="189" customFormat="1" ht="15" customHeight="1" hidden="1">
      <c r="A375" s="202"/>
      <c r="B375" s="312" t="s">
        <v>648</v>
      </c>
      <c r="C375" s="313"/>
      <c r="D375" s="299"/>
      <c r="E375" s="314">
        <f>E362-E371</f>
        <v>0</v>
      </c>
      <c r="F375" s="305"/>
      <c r="G375" s="314">
        <f>G362-G371</f>
        <v>0</v>
      </c>
      <c r="H375" s="305"/>
      <c r="I375" s="314">
        <f>I362-I371</f>
        <v>0</v>
      </c>
      <c r="J375" s="314"/>
      <c r="K375" s="315">
        <f>K362-K371</f>
        <v>0</v>
      </c>
      <c r="L375" s="257">
        <f>K375-'[1]CDKT '!I54</f>
        <v>0</v>
      </c>
      <c r="Y375" s="466"/>
      <c r="Z375" s="466"/>
      <c r="AA375" s="466"/>
    </row>
    <row r="376" spans="1:27" s="189" customFormat="1" ht="19.5" customHeight="1" hidden="1">
      <c r="A376" s="185"/>
      <c r="B376" s="186"/>
      <c r="C376" s="240"/>
      <c r="D376" s="186"/>
      <c r="E376" s="186"/>
      <c r="F376" s="186"/>
      <c r="G376" s="186"/>
      <c r="H376" s="186"/>
      <c r="I376" s="187"/>
      <c r="J376" s="187"/>
      <c r="K376" s="187"/>
      <c r="L376" s="188"/>
      <c r="Y376" s="466"/>
      <c r="Z376" s="466"/>
      <c r="AA376" s="466"/>
    </row>
    <row r="377" spans="1:27" s="189" customFormat="1" ht="12.75" customHeight="1" hidden="1">
      <c r="A377" s="202"/>
      <c r="B377" s="219" t="s">
        <v>649</v>
      </c>
      <c r="C377" s="219"/>
      <c r="D377" s="219"/>
      <c r="E377" s="219"/>
      <c r="F377" s="219"/>
      <c r="G377" s="219"/>
      <c r="H377" s="219"/>
      <c r="I377" s="219"/>
      <c r="J377" s="219"/>
      <c r="K377" s="219"/>
      <c r="L377" s="188"/>
      <c r="Y377" s="466"/>
      <c r="Z377" s="466"/>
      <c r="AA377" s="466"/>
    </row>
    <row r="378" spans="1:27" s="189" customFormat="1" ht="12.75" customHeight="1" hidden="1">
      <c r="A378" s="202"/>
      <c r="B378" s="219" t="s">
        <v>650</v>
      </c>
      <c r="C378" s="219"/>
      <c r="D378" s="219"/>
      <c r="E378" s="219"/>
      <c r="F378" s="219"/>
      <c r="G378" s="219"/>
      <c r="H378" s="219"/>
      <c r="I378" s="219"/>
      <c r="J378" s="219"/>
      <c r="K378" s="219"/>
      <c r="L378" s="188"/>
      <c r="Y378" s="466"/>
      <c r="Z378" s="466"/>
      <c r="AA378" s="466"/>
    </row>
    <row r="379" spans="1:27" s="189" customFormat="1" ht="12.75" customHeight="1" hidden="1">
      <c r="A379" s="202"/>
      <c r="B379" s="219" t="s">
        <v>651</v>
      </c>
      <c r="C379" s="219"/>
      <c r="D379" s="219"/>
      <c r="E379" s="219"/>
      <c r="F379" s="219"/>
      <c r="G379" s="219"/>
      <c r="H379" s="219"/>
      <c r="I379" s="219"/>
      <c r="J379" s="219"/>
      <c r="K379" s="219"/>
      <c r="L379" s="188"/>
      <c r="Y379" s="466"/>
      <c r="Z379" s="466"/>
      <c r="AA379" s="466"/>
    </row>
    <row r="380" spans="1:27" s="189" customFormat="1" ht="30" customHeight="1">
      <c r="A380" s="281" t="s">
        <v>261</v>
      </c>
      <c r="B380" s="282" t="s">
        <v>4</v>
      </c>
      <c r="C380" s="191"/>
      <c r="D380" s="191"/>
      <c r="E380" s="191"/>
      <c r="F380" s="191"/>
      <c r="G380" s="191"/>
      <c r="H380" s="191"/>
      <c r="I380" s="192"/>
      <c r="J380" s="192"/>
      <c r="K380" s="192"/>
      <c r="L380" s="188"/>
      <c r="Y380" s="466"/>
      <c r="Z380" s="466"/>
      <c r="AA380" s="466"/>
    </row>
    <row r="381" spans="1:27" s="189" customFormat="1" ht="30.75" customHeight="1">
      <c r="A381" s="185"/>
      <c r="B381" s="283"/>
      <c r="C381" s="284"/>
      <c r="D381" s="285"/>
      <c r="E381" s="286"/>
      <c r="F381" s="285"/>
      <c r="G381" s="286" t="s">
        <v>652</v>
      </c>
      <c r="H381" s="186"/>
      <c r="I381" s="286" t="s">
        <v>653</v>
      </c>
      <c r="J381" s="187"/>
      <c r="K381" s="286" t="s">
        <v>626</v>
      </c>
      <c r="L381" s="209"/>
      <c r="Y381" s="466"/>
      <c r="Z381" s="466"/>
      <c r="AA381" s="466"/>
    </row>
    <row r="382" spans="1:27" s="189" customFormat="1" ht="15.75" customHeight="1">
      <c r="A382" s="185"/>
      <c r="B382" s="186" t="s">
        <v>628</v>
      </c>
      <c r="C382" s="309"/>
      <c r="D382" s="309"/>
      <c r="E382" s="309"/>
      <c r="F382" s="309"/>
      <c r="G382" s="309"/>
      <c r="H382" s="210"/>
      <c r="I382" s="289"/>
      <c r="J382" s="289"/>
      <c r="K382" s="187"/>
      <c r="L382" s="188"/>
      <c r="Y382" s="466"/>
      <c r="Z382" s="466"/>
      <c r="AA382" s="466"/>
    </row>
    <row r="383" spans="1:27" s="319" customFormat="1" ht="15.75" customHeight="1">
      <c r="A383" s="185"/>
      <c r="B383" s="186" t="s">
        <v>629</v>
      </c>
      <c r="C383" s="309"/>
      <c r="D383" s="309"/>
      <c r="E383" s="309"/>
      <c r="F383" s="309"/>
      <c r="G383" s="316">
        <v>3344621315</v>
      </c>
      <c r="H383" s="317"/>
      <c r="I383" s="318">
        <v>139830000</v>
      </c>
      <c r="J383" s="318"/>
      <c r="K383" s="72">
        <f>SUM(E383:J383)</f>
        <v>3484451315</v>
      </c>
      <c r="L383" s="271">
        <f>K383-'[1]CDKT '!K58</f>
        <v>0</v>
      </c>
      <c r="Y383" s="674"/>
      <c r="Z383" s="674"/>
      <c r="AA383" s="674"/>
    </row>
    <row r="384" spans="1:27" s="189" customFormat="1" ht="15.75" customHeight="1" hidden="1">
      <c r="A384" s="223"/>
      <c r="B384" s="232"/>
      <c r="C384" s="232" t="s">
        <v>23</v>
      </c>
      <c r="D384" s="293"/>
      <c r="E384" s="293"/>
      <c r="F384" s="293"/>
      <c r="G384" s="320"/>
      <c r="H384" s="321"/>
      <c r="I384" s="322"/>
      <c r="J384" s="322"/>
      <c r="K384" s="323">
        <f aca="true" t="shared" si="4" ref="K384:K390">SUM(E384:J384)</f>
        <v>0</v>
      </c>
      <c r="L384" s="324"/>
      <c r="Y384" s="466"/>
      <c r="Z384" s="466"/>
      <c r="AA384" s="466"/>
    </row>
    <row r="385" spans="1:27" s="189" customFormat="1" ht="15.75" customHeight="1" hidden="1">
      <c r="A385" s="223"/>
      <c r="B385" s="232"/>
      <c r="C385" s="232" t="s">
        <v>654</v>
      </c>
      <c r="D385" s="293"/>
      <c r="E385" s="293"/>
      <c r="F385" s="293"/>
      <c r="G385" s="325"/>
      <c r="H385" s="321"/>
      <c r="I385" s="322"/>
      <c r="J385" s="322"/>
      <c r="K385" s="323">
        <f t="shared" si="4"/>
        <v>0</v>
      </c>
      <c r="L385" s="188"/>
      <c r="Y385" s="466"/>
      <c r="Z385" s="466"/>
      <c r="AA385" s="466"/>
    </row>
    <row r="386" spans="1:27" s="189" customFormat="1" ht="15.75" customHeight="1" hidden="1">
      <c r="A386" s="223"/>
      <c r="B386" s="232"/>
      <c r="C386" s="232" t="s">
        <v>655</v>
      </c>
      <c r="D386" s="293"/>
      <c r="E386" s="293"/>
      <c r="F386" s="293"/>
      <c r="G386" s="325"/>
      <c r="H386" s="321"/>
      <c r="I386" s="322"/>
      <c r="J386" s="322"/>
      <c r="K386" s="323">
        <f t="shared" si="4"/>
        <v>0</v>
      </c>
      <c r="L386" s="188"/>
      <c r="Y386" s="466"/>
      <c r="Z386" s="466"/>
      <c r="AA386" s="466"/>
    </row>
    <row r="387" spans="1:27" s="189" customFormat="1" ht="15.75" customHeight="1" hidden="1">
      <c r="A387" s="223"/>
      <c r="B387" s="232"/>
      <c r="C387" s="232" t="s">
        <v>632</v>
      </c>
      <c r="D387" s="293"/>
      <c r="E387" s="293"/>
      <c r="F387" s="293"/>
      <c r="G387" s="325"/>
      <c r="H387" s="321"/>
      <c r="I387" s="322"/>
      <c r="J387" s="322"/>
      <c r="K387" s="323">
        <f t="shared" si="4"/>
        <v>0</v>
      </c>
      <c r="L387" s="188"/>
      <c r="Y387" s="466"/>
      <c r="Z387" s="466"/>
      <c r="AA387" s="466"/>
    </row>
    <row r="388" spans="1:27" s="189" customFormat="1" ht="15.75" customHeight="1" hidden="1">
      <c r="A388" s="223"/>
      <c r="B388" s="232"/>
      <c r="C388" s="232" t="s">
        <v>116</v>
      </c>
      <c r="D388" s="293"/>
      <c r="E388" s="293"/>
      <c r="F388" s="293"/>
      <c r="G388" s="325"/>
      <c r="H388" s="321"/>
      <c r="I388" s="322"/>
      <c r="J388" s="322"/>
      <c r="K388" s="323">
        <f t="shared" si="4"/>
        <v>0</v>
      </c>
      <c r="L388" s="188"/>
      <c r="Y388" s="466"/>
      <c r="Z388" s="466"/>
      <c r="AA388" s="466"/>
    </row>
    <row r="389" spans="1:27" s="189" customFormat="1" ht="15.75" customHeight="1" hidden="1">
      <c r="A389" s="223"/>
      <c r="B389" s="295"/>
      <c r="C389" s="295" t="s">
        <v>634</v>
      </c>
      <c r="D389" s="293"/>
      <c r="E389" s="293"/>
      <c r="F389" s="293"/>
      <c r="G389" s="325"/>
      <c r="H389" s="326"/>
      <c r="I389" s="327"/>
      <c r="J389" s="327"/>
      <c r="K389" s="72">
        <f t="shared" si="4"/>
        <v>0</v>
      </c>
      <c r="L389" s="188"/>
      <c r="Y389" s="466"/>
      <c r="Z389" s="466"/>
      <c r="AA389" s="466"/>
    </row>
    <row r="390" spans="1:27" s="319" customFormat="1" ht="15.75" customHeight="1">
      <c r="A390" s="185"/>
      <c r="B390" s="328" t="s">
        <v>656</v>
      </c>
      <c r="C390" s="329"/>
      <c r="D390" s="309"/>
      <c r="E390" s="329"/>
      <c r="F390" s="309"/>
      <c r="G390" s="330">
        <f>G383+G384+G385+G386+G387-G388-G389</f>
        <v>3344621315</v>
      </c>
      <c r="H390" s="317"/>
      <c r="I390" s="330">
        <f>I383+I384+I385+I386+I387-I388-I389</f>
        <v>139830000</v>
      </c>
      <c r="J390" s="318"/>
      <c r="K390" s="331">
        <f t="shared" si="4"/>
        <v>3484451315</v>
      </c>
      <c r="L390" s="271">
        <f>K390-'[1]CDKT '!I58</f>
        <v>0</v>
      </c>
      <c r="Y390" s="674"/>
      <c r="Z390" s="674"/>
      <c r="AA390" s="674"/>
    </row>
    <row r="391" spans="1:27" s="319" customFormat="1" ht="15.75" customHeight="1" hidden="1">
      <c r="A391" s="185"/>
      <c r="B391" s="240"/>
      <c r="C391" s="309"/>
      <c r="D391" s="309"/>
      <c r="E391" s="309"/>
      <c r="F391" s="309"/>
      <c r="G391" s="316"/>
      <c r="H391" s="317"/>
      <c r="I391" s="316"/>
      <c r="J391" s="318"/>
      <c r="K391" s="72"/>
      <c r="L391" s="271"/>
      <c r="Y391" s="674"/>
      <c r="Z391" s="674"/>
      <c r="AA391" s="674"/>
    </row>
    <row r="392" spans="1:27" s="189" customFormat="1" ht="30" customHeight="1" hidden="1">
      <c r="A392" s="281" t="s">
        <v>261</v>
      </c>
      <c r="B392" s="282" t="s">
        <v>657</v>
      </c>
      <c r="C392" s="191"/>
      <c r="D392" s="191"/>
      <c r="E392" s="191"/>
      <c r="F392" s="191"/>
      <c r="G392" s="191"/>
      <c r="H392" s="191"/>
      <c r="I392" s="192"/>
      <c r="J392" s="192"/>
      <c r="K392" s="192"/>
      <c r="L392" s="188"/>
      <c r="Y392" s="466"/>
      <c r="Z392" s="466"/>
      <c r="AA392" s="466"/>
    </row>
    <row r="393" spans="1:27" s="189" customFormat="1" ht="15.75" customHeight="1">
      <c r="A393" s="185"/>
      <c r="B393" s="186" t="s">
        <v>635</v>
      </c>
      <c r="C393" s="309"/>
      <c r="D393" s="309"/>
      <c r="E393" s="309"/>
      <c r="F393" s="309"/>
      <c r="G393" s="316"/>
      <c r="H393" s="316"/>
      <c r="I393" s="72"/>
      <c r="J393" s="72"/>
      <c r="K393" s="72"/>
      <c r="L393" s="188"/>
      <c r="Y393" s="466"/>
      <c r="Z393" s="466"/>
      <c r="AA393" s="466"/>
    </row>
    <row r="394" spans="1:27" s="319" customFormat="1" ht="15.75" customHeight="1">
      <c r="A394" s="185"/>
      <c r="B394" s="186" t="s">
        <v>629</v>
      </c>
      <c r="C394" s="309"/>
      <c r="D394" s="309"/>
      <c r="E394" s="309"/>
      <c r="F394" s="309"/>
      <c r="G394" s="316">
        <v>320157011</v>
      </c>
      <c r="H394" s="317"/>
      <c r="I394" s="318">
        <v>47524500</v>
      </c>
      <c r="J394" s="318"/>
      <c r="K394" s="72">
        <f aca="true" t="shared" si="5" ref="K394:K399">SUM(E394:J394)</f>
        <v>367681511</v>
      </c>
      <c r="L394" s="271">
        <f>K394+'[1]CDKT '!K59</f>
        <v>0</v>
      </c>
      <c r="Y394" s="674"/>
      <c r="Z394" s="674"/>
      <c r="AA394" s="674"/>
    </row>
    <row r="395" spans="1:27" s="189" customFormat="1" ht="15.75" customHeight="1">
      <c r="A395" s="223"/>
      <c r="B395" s="232"/>
      <c r="C395" s="232" t="s">
        <v>25</v>
      </c>
      <c r="D395" s="295"/>
      <c r="E395" s="332"/>
      <c r="F395" s="333"/>
      <c r="G395" s="320">
        <v>15671436</v>
      </c>
      <c r="H395" s="326"/>
      <c r="I395" s="320">
        <v>13983000</v>
      </c>
      <c r="J395" s="322"/>
      <c r="K395" s="323">
        <f t="shared" si="5"/>
        <v>29654436</v>
      </c>
      <c r="L395" s="188"/>
      <c r="Y395" s="466"/>
      <c r="Z395" s="466"/>
      <c r="AA395" s="466"/>
    </row>
    <row r="396" spans="1:27" s="189" customFormat="1" ht="15.75" customHeight="1" hidden="1">
      <c r="A396" s="223"/>
      <c r="B396" s="232"/>
      <c r="C396" s="232" t="s">
        <v>632</v>
      </c>
      <c r="D396" s="293"/>
      <c r="E396" s="293"/>
      <c r="F396" s="293"/>
      <c r="G396" s="325"/>
      <c r="H396" s="326"/>
      <c r="I396" s="322"/>
      <c r="J396" s="327"/>
      <c r="K396" s="72">
        <f t="shared" si="5"/>
        <v>0</v>
      </c>
      <c r="L396" s="188"/>
      <c r="Y396" s="466"/>
      <c r="Z396" s="466"/>
      <c r="AA396" s="466"/>
    </row>
    <row r="397" spans="1:27" s="189" customFormat="1" ht="15.75" customHeight="1" hidden="1">
      <c r="A397" s="223"/>
      <c r="B397" s="232"/>
      <c r="C397" s="232" t="s">
        <v>116</v>
      </c>
      <c r="D397" s="295"/>
      <c r="E397" s="332"/>
      <c r="F397" s="333"/>
      <c r="G397" s="320"/>
      <c r="H397" s="326"/>
      <c r="I397" s="327"/>
      <c r="J397" s="327"/>
      <c r="K397" s="72">
        <f t="shared" si="5"/>
        <v>0</v>
      </c>
      <c r="L397" s="188"/>
      <c r="Y397" s="466"/>
      <c r="Z397" s="466"/>
      <c r="AA397" s="466"/>
    </row>
    <row r="398" spans="1:27" s="189" customFormat="1" ht="15.75" customHeight="1" hidden="1">
      <c r="A398" s="223"/>
      <c r="B398" s="295"/>
      <c r="C398" s="295" t="s">
        <v>634</v>
      </c>
      <c r="D398" s="293"/>
      <c r="E398" s="293"/>
      <c r="F398" s="293"/>
      <c r="G398" s="325"/>
      <c r="H398" s="326"/>
      <c r="I398" s="327"/>
      <c r="J398" s="327"/>
      <c r="K398" s="72">
        <f t="shared" si="5"/>
        <v>0</v>
      </c>
      <c r="L398" s="188"/>
      <c r="Y398" s="466"/>
      <c r="Z398" s="466"/>
      <c r="AA398" s="466"/>
    </row>
    <row r="399" spans="1:27" s="319" customFormat="1" ht="15.75" customHeight="1">
      <c r="A399" s="185"/>
      <c r="B399" s="328" t="s">
        <v>24</v>
      </c>
      <c r="C399" s="329"/>
      <c r="D399" s="309"/>
      <c r="E399" s="329"/>
      <c r="F399" s="309"/>
      <c r="G399" s="330">
        <f>G394+G395+G396-G397-G398</f>
        <v>335828447</v>
      </c>
      <c r="H399" s="317"/>
      <c r="I399" s="330">
        <f>I394+I395+I396-I397-I398</f>
        <v>61507500</v>
      </c>
      <c r="J399" s="318"/>
      <c r="K399" s="331">
        <f t="shared" si="5"/>
        <v>397335947</v>
      </c>
      <c r="L399" s="271">
        <f>K399+'[1]CDKT '!I59</f>
        <v>0</v>
      </c>
      <c r="Y399" s="674"/>
      <c r="Z399" s="674"/>
      <c r="AA399" s="674"/>
    </row>
    <row r="400" spans="1:27" s="189" customFormat="1" ht="15.75" customHeight="1">
      <c r="A400" s="185"/>
      <c r="B400" s="186" t="s">
        <v>646</v>
      </c>
      <c r="C400" s="309"/>
      <c r="D400" s="309"/>
      <c r="E400" s="309"/>
      <c r="F400" s="309"/>
      <c r="G400" s="316"/>
      <c r="H400" s="316"/>
      <c r="I400" s="72"/>
      <c r="J400" s="72"/>
      <c r="K400" s="184"/>
      <c r="L400" s="188"/>
      <c r="Y400" s="466"/>
      <c r="Z400" s="466"/>
      <c r="AA400" s="466"/>
    </row>
    <row r="401" spans="1:27" s="319" customFormat="1" ht="15.75" customHeight="1">
      <c r="A401" s="185"/>
      <c r="B401" s="186" t="s">
        <v>629</v>
      </c>
      <c r="C401" s="309"/>
      <c r="D401" s="309"/>
      <c r="E401" s="309"/>
      <c r="F401" s="309"/>
      <c r="G401" s="316">
        <f>G383-G394</f>
        <v>3024464304</v>
      </c>
      <c r="H401" s="263" t="s">
        <v>658</v>
      </c>
      <c r="I401" s="72">
        <f>I383-I394</f>
        <v>92305500</v>
      </c>
      <c r="J401" s="72" t="s">
        <v>659</v>
      </c>
      <c r="K401" s="316">
        <f>K383-K394</f>
        <v>3116769804</v>
      </c>
      <c r="L401" s="238"/>
      <c r="Y401" s="674"/>
      <c r="Z401" s="674"/>
      <c r="AA401" s="674"/>
    </row>
    <row r="402" spans="1:27" s="319" customFormat="1" ht="15.75" customHeight="1" thickBot="1">
      <c r="A402" s="185"/>
      <c r="B402" s="334" t="s">
        <v>24</v>
      </c>
      <c r="C402" s="664"/>
      <c r="D402" s="309"/>
      <c r="E402" s="335"/>
      <c r="F402" s="309"/>
      <c r="G402" s="336">
        <f>G390-G399</f>
        <v>3008792868</v>
      </c>
      <c r="H402" s="263" t="s">
        <v>658</v>
      </c>
      <c r="I402" s="336">
        <f>I390-I399</f>
        <v>78322500</v>
      </c>
      <c r="J402" s="72" t="s">
        <v>659</v>
      </c>
      <c r="K402" s="336">
        <f>K390-K399</f>
        <v>3087115368</v>
      </c>
      <c r="L402" s="271">
        <f>K402-'[1]CDKT '!I57</f>
        <v>0</v>
      </c>
      <c r="Y402" s="674"/>
      <c r="Z402" s="674"/>
      <c r="AA402" s="674"/>
    </row>
    <row r="403" spans="1:27" s="189" customFormat="1" ht="9.75" customHeight="1" thickTop="1">
      <c r="A403" s="202"/>
      <c r="B403" s="191"/>
      <c r="C403" s="191"/>
      <c r="D403" s="219"/>
      <c r="E403" s="191"/>
      <c r="F403" s="219"/>
      <c r="G403" s="191"/>
      <c r="H403" s="219"/>
      <c r="I403" s="192"/>
      <c r="J403" s="192"/>
      <c r="K403" s="192"/>
      <c r="L403" s="188"/>
      <c r="Y403" s="466"/>
      <c r="Z403" s="466"/>
      <c r="AA403" s="466"/>
    </row>
    <row r="404" spans="1:27" s="189" customFormat="1" ht="19.5" customHeight="1">
      <c r="A404" s="202"/>
      <c r="B404" s="773" t="s">
        <v>660</v>
      </c>
      <c r="C404" s="773"/>
      <c r="D404" s="773"/>
      <c r="E404" s="773"/>
      <c r="F404" s="773"/>
      <c r="G404" s="773"/>
      <c r="H404" s="773"/>
      <c r="I404" s="773"/>
      <c r="J404" s="773"/>
      <c r="K404" s="773"/>
      <c r="L404" s="188"/>
      <c r="Y404" s="466"/>
      <c r="Z404" s="466"/>
      <c r="AA404" s="466"/>
    </row>
    <row r="405" spans="1:27" s="189" customFormat="1" ht="46.5" customHeight="1">
      <c r="A405" s="202"/>
      <c r="B405" s="774" t="s">
        <v>661</v>
      </c>
      <c r="C405" s="774"/>
      <c r="D405" s="774"/>
      <c r="E405" s="774"/>
      <c r="F405" s="774"/>
      <c r="G405" s="774"/>
      <c r="H405" s="774"/>
      <c r="I405" s="774"/>
      <c r="J405" s="774"/>
      <c r="K405" s="774"/>
      <c r="L405" s="188"/>
      <c r="Y405" s="466"/>
      <c r="Z405" s="466"/>
      <c r="AA405" s="466"/>
    </row>
    <row r="406" spans="1:27" s="189" customFormat="1" ht="34.5" customHeight="1">
      <c r="A406" s="202"/>
      <c r="B406" s="774" t="s">
        <v>662</v>
      </c>
      <c r="C406" s="774"/>
      <c r="D406" s="774"/>
      <c r="E406" s="774"/>
      <c r="F406" s="774"/>
      <c r="G406" s="774"/>
      <c r="H406" s="774"/>
      <c r="I406" s="774"/>
      <c r="J406" s="774"/>
      <c r="K406" s="774"/>
      <c r="L406" s="188"/>
      <c r="Y406" s="466"/>
      <c r="Z406" s="466"/>
      <c r="AA406" s="466"/>
    </row>
    <row r="407" spans="1:27" s="189" customFormat="1" ht="30" customHeight="1">
      <c r="A407" s="281" t="s">
        <v>426</v>
      </c>
      <c r="B407" s="282" t="s">
        <v>57</v>
      </c>
      <c r="C407" s="191"/>
      <c r="D407" s="191"/>
      <c r="E407" s="191"/>
      <c r="F407" s="191"/>
      <c r="G407" s="191"/>
      <c r="H407" s="191"/>
      <c r="I407" s="248" t="s">
        <v>1055</v>
      </c>
      <c r="J407" s="248"/>
      <c r="K407" s="248" t="str">
        <f>'[1]TTC'!D13</f>
        <v>01/01/2012</v>
      </c>
      <c r="L407" s="188"/>
      <c r="Y407" s="466"/>
      <c r="Z407" s="466"/>
      <c r="AA407" s="466"/>
    </row>
    <row r="408" spans="1:27" s="189" customFormat="1" ht="19.5" customHeight="1">
      <c r="A408" s="202"/>
      <c r="B408" s="264" t="s">
        <v>663</v>
      </c>
      <c r="C408" s="191"/>
      <c r="D408" s="191"/>
      <c r="E408" s="191"/>
      <c r="F408" s="191"/>
      <c r="G408" s="191"/>
      <c r="H408" s="191"/>
      <c r="I408" s="184"/>
      <c r="J408" s="184"/>
      <c r="K408" s="184"/>
      <c r="L408" s="188"/>
      <c r="Y408" s="466"/>
      <c r="Z408" s="466"/>
      <c r="AA408" s="466"/>
    </row>
    <row r="409" spans="1:27" s="224" customFormat="1" ht="19.5" customHeight="1" hidden="1">
      <c r="A409" s="223"/>
      <c r="B409" s="337"/>
      <c r="C409" s="338" t="s">
        <v>664</v>
      </c>
      <c r="D409" s="232"/>
      <c r="E409" s="232"/>
      <c r="F409" s="232"/>
      <c r="G409" s="232"/>
      <c r="H409" s="232"/>
      <c r="I409" s="258"/>
      <c r="J409" s="258"/>
      <c r="K409" s="258"/>
      <c r="Y409" s="672"/>
      <c r="Z409" s="672"/>
      <c r="AA409" s="672"/>
    </row>
    <row r="410" spans="1:27" s="224" customFormat="1" ht="19.5" customHeight="1" hidden="1">
      <c r="A410" s="223"/>
      <c r="B410" s="339"/>
      <c r="C410" s="295" t="s">
        <v>665</v>
      </c>
      <c r="D410" s="232"/>
      <c r="E410" s="232"/>
      <c r="F410" s="232"/>
      <c r="G410" s="232"/>
      <c r="H410" s="232"/>
      <c r="I410" s="258"/>
      <c r="J410" s="258"/>
      <c r="K410" s="258"/>
      <c r="Y410" s="672"/>
      <c r="Z410" s="672"/>
      <c r="AA410" s="672"/>
    </row>
    <row r="411" spans="1:27" s="224" customFormat="1" ht="19.5" customHeight="1">
      <c r="A411" s="223"/>
      <c r="B411" s="340" t="s">
        <v>666</v>
      </c>
      <c r="C411" s="295" t="s">
        <v>667</v>
      </c>
      <c r="D411" s="232"/>
      <c r="E411" s="232"/>
      <c r="F411" s="232"/>
      <c r="G411" s="232"/>
      <c r="H411" s="232"/>
      <c r="I411" s="258">
        <f>CDKT!G39</f>
        <v>1368770887</v>
      </c>
      <c r="J411" s="258"/>
      <c r="K411" s="258">
        <v>1001065120</v>
      </c>
      <c r="L411" s="341">
        <f>64991.43*20828</f>
        <v>1353641504.04</v>
      </c>
      <c r="M411" s="342">
        <f>I411-K411</f>
        <v>367705767</v>
      </c>
      <c r="Y411" s="672"/>
      <c r="Z411" s="672"/>
      <c r="AA411" s="672"/>
    </row>
    <row r="412" spans="1:27" s="224" customFormat="1" ht="19.5" customHeight="1">
      <c r="A412" s="223"/>
      <c r="B412" s="340" t="s">
        <v>668</v>
      </c>
      <c r="C412" s="295" t="s">
        <v>669</v>
      </c>
      <c r="D412" s="232"/>
      <c r="E412" s="232"/>
      <c r="F412" s="232"/>
      <c r="G412" s="232"/>
      <c r="H412" s="232"/>
      <c r="I412" s="258">
        <f>CDKT!H39</f>
        <v>1500925767</v>
      </c>
      <c r="J412" s="258"/>
      <c r="K412" s="258">
        <v>1495755114</v>
      </c>
      <c r="L412" s="341">
        <f>71814.63*20828</f>
        <v>1495755113.64</v>
      </c>
      <c r="M412" s="343" t="s">
        <v>670</v>
      </c>
      <c r="N412" s="342"/>
      <c r="Y412" s="672"/>
      <c r="Z412" s="672"/>
      <c r="AA412" s="672"/>
    </row>
    <row r="413" spans="1:27" s="189" customFormat="1" ht="21" customHeight="1" thickBot="1">
      <c r="A413" s="223"/>
      <c r="B413" s="186"/>
      <c r="C413" s="186" t="s">
        <v>150</v>
      </c>
      <c r="D413" s="232"/>
      <c r="E413" s="232"/>
      <c r="F413" s="232"/>
      <c r="G413" s="232"/>
      <c r="H413" s="232"/>
      <c r="I413" s="254">
        <f>SUM(I408:I412)</f>
        <v>2869696654</v>
      </c>
      <c r="J413" s="72"/>
      <c r="K413" s="254">
        <f>SUM(K408:K412)</f>
        <v>2496820234</v>
      </c>
      <c r="L413" s="257">
        <f>I413-'[1]CDKT '!I60</f>
        <v>20300036</v>
      </c>
      <c r="M413" s="257">
        <f>K413-'[1]CDKT '!K60</f>
        <v>0</v>
      </c>
      <c r="Y413" s="466"/>
      <c r="Z413" s="466"/>
      <c r="AA413" s="466"/>
    </row>
    <row r="414" spans="1:27" s="189" customFormat="1" ht="30" customHeight="1" hidden="1">
      <c r="A414" s="281" t="s">
        <v>458</v>
      </c>
      <c r="B414" s="282" t="s">
        <v>671</v>
      </c>
      <c r="C414" s="191"/>
      <c r="D414" s="191"/>
      <c r="E414" s="191"/>
      <c r="F414" s="191"/>
      <c r="G414" s="191"/>
      <c r="H414" s="191"/>
      <c r="I414" s="187"/>
      <c r="J414" s="187"/>
      <c r="K414" s="187"/>
      <c r="L414" s="188"/>
      <c r="Y414" s="466"/>
      <c r="Z414" s="466"/>
      <c r="AA414" s="466"/>
    </row>
    <row r="415" spans="1:27" s="189" customFormat="1" ht="30.75" customHeight="1" hidden="1">
      <c r="A415" s="185"/>
      <c r="B415" s="344" t="s">
        <v>156</v>
      </c>
      <c r="C415" s="345"/>
      <c r="D415" s="285"/>
      <c r="E415" s="286" t="s">
        <v>672</v>
      </c>
      <c r="F415" s="285"/>
      <c r="G415" s="286" t="s">
        <v>673</v>
      </c>
      <c r="H415" s="186"/>
      <c r="I415" s="286" t="s">
        <v>674</v>
      </c>
      <c r="J415" s="187"/>
      <c r="K415" s="286" t="s">
        <v>675</v>
      </c>
      <c r="L415" s="209"/>
      <c r="Y415" s="466"/>
      <c r="Z415" s="466"/>
      <c r="AA415" s="466"/>
    </row>
    <row r="416" spans="1:27" s="189" customFormat="1" ht="15.75" customHeight="1" hidden="1">
      <c r="A416" s="185"/>
      <c r="B416" s="346"/>
      <c r="C416" s="346"/>
      <c r="D416" s="285"/>
      <c r="E416" s="347"/>
      <c r="F416" s="285"/>
      <c r="G416" s="347"/>
      <c r="H416" s="186"/>
      <c r="I416" s="347"/>
      <c r="J416" s="187"/>
      <c r="K416" s="347"/>
      <c r="L416" s="209"/>
      <c r="Y416" s="466"/>
      <c r="Z416" s="466"/>
      <c r="AA416" s="466"/>
    </row>
    <row r="417" spans="1:27" s="189" customFormat="1" ht="15.75" customHeight="1" hidden="1">
      <c r="A417" s="185"/>
      <c r="B417" s="240" t="s">
        <v>628</v>
      </c>
      <c r="C417" s="240"/>
      <c r="D417" s="240"/>
      <c r="E417" s="348">
        <f>SUM(E418:E421)</f>
        <v>0</v>
      </c>
      <c r="F417" s="346"/>
      <c r="G417" s="348">
        <f>SUM(G418:G421)</f>
        <v>0</v>
      </c>
      <c r="H417" s="349"/>
      <c r="I417" s="348">
        <f>SUM(I418:I421)</f>
        <v>0</v>
      </c>
      <c r="J417" s="192"/>
      <c r="K417" s="187">
        <f>E417+G417-I417</f>
        <v>0</v>
      </c>
      <c r="L417" s="257">
        <f>K417-'[1]CDKT '!I62</f>
        <v>0</v>
      </c>
      <c r="Y417" s="466"/>
      <c r="Z417" s="466"/>
      <c r="AA417" s="466"/>
    </row>
    <row r="418" spans="1:27" s="189" customFormat="1" ht="15.75" customHeight="1" hidden="1">
      <c r="A418" s="202"/>
      <c r="B418" s="219" t="s">
        <v>160</v>
      </c>
      <c r="C418" s="299"/>
      <c r="D418" s="299"/>
      <c r="E418" s="104"/>
      <c r="F418" s="104"/>
      <c r="G418" s="104"/>
      <c r="H418" s="299"/>
      <c r="I418" s="192"/>
      <c r="J418" s="192"/>
      <c r="K418" s="187">
        <f>E418+G418-I418</f>
        <v>0</v>
      </c>
      <c r="L418" s="188"/>
      <c r="Y418" s="466"/>
      <c r="Z418" s="466"/>
      <c r="AA418" s="466"/>
    </row>
    <row r="419" spans="1:27" s="189" customFormat="1" ht="15.75" customHeight="1" hidden="1">
      <c r="A419" s="223"/>
      <c r="B419" s="219" t="s">
        <v>676</v>
      </c>
      <c r="C419" s="299"/>
      <c r="D419" s="299"/>
      <c r="E419" s="299"/>
      <c r="F419" s="299"/>
      <c r="G419" s="299"/>
      <c r="H419" s="299"/>
      <c r="I419" s="192"/>
      <c r="J419" s="192"/>
      <c r="K419" s="187">
        <f>E419+G419-I419</f>
        <v>0</v>
      </c>
      <c r="L419" s="188"/>
      <c r="Y419" s="466"/>
      <c r="Z419" s="466"/>
      <c r="AA419" s="466"/>
    </row>
    <row r="420" spans="1:27" s="189" customFormat="1" ht="15.75" customHeight="1" hidden="1">
      <c r="A420" s="223"/>
      <c r="B420" s="219" t="s">
        <v>677</v>
      </c>
      <c r="C420" s="299"/>
      <c r="D420" s="299"/>
      <c r="E420" s="299"/>
      <c r="F420" s="299"/>
      <c r="G420" s="299"/>
      <c r="H420" s="299"/>
      <c r="I420" s="192"/>
      <c r="J420" s="192"/>
      <c r="K420" s="187">
        <f>E420+G420-I420</f>
        <v>0</v>
      </c>
      <c r="L420" s="188"/>
      <c r="Y420" s="466"/>
      <c r="Z420" s="466"/>
      <c r="AA420" s="466"/>
    </row>
    <row r="421" spans="1:27" s="189" customFormat="1" ht="15.75" customHeight="1" hidden="1">
      <c r="A421" s="223"/>
      <c r="B421" s="350" t="s">
        <v>678</v>
      </c>
      <c r="C421" s="351"/>
      <c r="D421" s="299"/>
      <c r="E421" s="351"/>
      <c r="F421" s="299"/>
      <c r="G421" s="351"/>
      <c r="H421" s="299"/>
      <c r="I421" s="352"/>
      <c r="J421" s="192"/>
      <c r="K421" s="298">
        <f>E421+G421-I421</f>
        <v>0</v>
      </c>
      <c r="L421" s="188"/>
      <c r="Y421" s="466"/>
      <c r="Z421" s="466"/>
      <c r="AA421" s="466"/>
    </row>
    <row r="422" spans="1:27" s="189" customFormat="1" ht="15.75" customHeight="1" hidden="1">
      <c r="A422" s="223"/>
      <c r="B422" s="219"/>
      <c r="C422" s="299"/>
      <c r="D422" s="299"/>
      <c r="E422" s="299"/>
      <c r="F422" s="299"/>
      <c r="G422" s="299"/>
      <c r="H422" s="299"/>
      <c r="I422" s="192"/>
      <c r="J422" s="192"/>
      <c r="K422" s="187"/>
      <c r="L422" s="188"/>
      <c r="Y422" s="466"/>
      <c r="Z422" s="466"/>
      <c r="AA422" s="466"/>
    </row>
    <row r="423" spans="1:27" s="189" customFormat="1" ht="15.75" customHeight="1" hidden="1">
      <c r="A423" s="185"/>
      <c r="B423" s="240" t="s">
        <v>635</v>
      </c>
      <c r="C423" s="240"/>
      <c r="D423" s="240"/>
      <c r="E423" s="353">
        <f>SUM(E424:E427)</f>
        <v>0</v>
      </c>
      <c r="F423" s="346"/>
      <c r="G423" s="353">
        <f>SUM(G424:G427)</f>
        <v>0</v>
      </c>
      <c r="H423" s="349"/>
      <c r="I423" s="353">
        <f>SUM(I424:I427)</f>
        <v>0</v>
      </c>
      <c r="J423" s="192"/>
      <c r="K423" s="187">
        <f>E423+G423-I423</f>
        <v>0</v>
      </c>
      <c r="L423" s="257">
        <f>K423+'[1]CDKT '!I63</f>
        <v>0</v>
      </c>
      <c r="Y423" s="466"/>
      <c r="Z423" s="466"/>
      <c r="AA423" s="466"/>
    </row>
    <row r="424" spans="1:27" s="189" customFormat="1" ht="15.75" customHeight="1" hidden="1">
      <c r="A424" s="202"/>
      <c r="B424" s="219" t="s">
        <v>160</v>
      </c>
      <c r="C424" s="299"/>
      <c r="D424" s="299"/>
      <c r="E424" s="299"/>
      <c r="F424" s="299"/>
      <c r="G424" s="299"/>
      <c r="H424" s="299"/>
      <c r="I424" s="192"/>
      <c r="J424" s="192"/>
      <c r="K424" s="187">
        <f>E424+G424-I424</f>
        <v>0</v>
      </c>
      <c r="L424" s="188"/>
      <c r="Y424" s="466"/>
      <c r="Z424" s="466"/>
      <c r="AA424" s="466"/>
    </row>
    <row r="425" spans="1:27" s="189" customFormat="1" ht="15.75" customHeight="1" hidden="1">
      <c r="A425" s="223"/>
      <c r="B425" s="219" t="s">
        <v>676</v>
      </c>
      <c r="C425" s="299"/>
      <c r="D425" s="299"/>
      <c r="E425" s="299"/>
      <c r="F425" s="299"/>
      <c r="G425" s="299"/>
      <c r="H425" s="299"/>
      <c r="I425" s="192"/>
      <c r="J425" s="192"/>
      <c r="K425" s="187">
        <f>E425+G425-I425</f>
        <v>0</v>
      </c>
      <c r="L425" s="188"/>
      <c r="Y425" s="466"/>
      <c r="Z425" s="466"/>
      <c r="AA425" s="466"/>
    </row>
    <row r="426" spans="1:27" s="189" customFormat="1" ht="15.75" customHeight="1" hidden="1">
      <c r="A426" s="223"/>
      <c r="B426" s="219" t="s">
        <v>677</v>
      </c>
      <c r="C426" s="299"/>
      <c r="D426" s="299"/>
      <c r="E426" s="299"/>
      <c r="F426" s="299"/>
      <c r="G426" s="299"/>
      <c r="H426" s="299"/>
      <c r="I426" s="192"/>
      <c r="J426" s="192"/>
      <c r="K426" s="187">
        <f>E426+G426-I426</f>
        <v>0</v>
      </c>
      <c r="L426" s="188"/>
      <c r="Y426" s="466"/>
      <c r="Z426" s="466"/>
      <c r="AA426" s="466"/>
    </row>
    <row r="427" spans="1:27" s="189" customFormat="1" ht="15.75" customHeight="1" hidden="1">
      <c r="A427" s="223"/>
      <c r="B427" s="350" t="s">
        <v>678</v>
      </c>
      <c r="C427" s="351"/>
      <c r="D427" s="299"/>
      <c r="E427" s="351"/>
      <c r="F427" s="299"/>
      <c r="G427" s="351"/>
      <c r="H427" s="299"/>
      <c r="I427" s="352"/>
      <c r="J427" s="192"/>
      <c r="K427" s="298">
        <f>E427+G427-I427</f>
        <v>0</v>
      </c>
      <c r="L427" s="188"/>
      <c r="Y427" s="466"/>
      <c r="Z427" s="466"/>
      <c r="AA427" s="466"/>
    </row>
    <row r="428" spans="1:27" s="189" customFormat="1" ht="15.75" customHeight="1" hidden="1">
      <c r="A428" s="223"/>
      <c r="B428" s="219"/>
      <c r="C428" s="299"/>
      <c r="D428" s="299"/>
      <c r="E428" s="299"/>
      <c r="F428" s="299"/>
      <c r="G428" s="299"/>
      <c r="H428" s="299"/>
      <c r="I428" s="192"/>
      <c r="J428" s="192"/>
      <c r="K428" s="187"/>
      <c r="L428" s="188"/>
      <c r="Y428" s="466"/>
      <c r="Z428" s="466"/>
      <c r="AA428" s="466"/>
    </row>
    <row r="429" spans="1:27" s="189" customFormat="1" ht="15.75" customHeight="1" hidden="1">
      <c r="A429" s="185"/>
      <c r="B429" s="240" t="s">
        <v>646</v>
      </c>
      <c r="C429" s="240"/>
      <c r="D429" s="240"/>
      <c r="E429" s="353">
        <f>SUM(E430:E433)</f>
        <v>0</v>
      </c>
      <c r="F429" s="346"/>
      <c r="G429" s="353">
        <f>SUM(G430:G433)</f>
        <v>0</v>
      </c>
      <c r="H429" s="349"/>
      <c r="I429" s="353">
        <f>SUM(I430:I433)</f>
        <v>0</v>
      </c>
      <c r="J429" s="192"/>
      <c r="K429" s="187">
        <f>E429+G429-I429</f>
        <v>0</v>
      </c>
      <c r="L429" s="257">
        <f>K429-'[1]CDKT '!I61</f>
        <v>0</v>
      </c>
      <c r="Y429" s="466"/>
      <c r="Z429" s="466"/>
      <c r="AA429" s="466"/>
    </row>
    <row r="430" spans="1:27" s="189" customFormat="1" ht="15.75" customHeight="1" hidden="1">
      <c r="A430" s="202"/>
      <c r="B430" s="219" t="s">
        <v>160</v>
      </c>
      <c r="C430" s="299"/>
      <c r="D430" s="299"/>
      <c r="E430" s="299"/>
      <c r="F430" s="299"/>
      <c r="G430" s="299"/>
      <c r="H430" s="299"/>
      <c r="I430" s="192"/>
      <c r="J430" s="192"/>
      <c r="K430" s="187">
        <f>E430+G430-I430</f>
        <v>0</v>
      </c>
      <c r="L430" s="188"/>
      <c r="Y430" s="466"/>
      <c r="Z430" s="466"/>
      <c r="AA430" s="466"/>
    </row>
    <row r="431" spans="1:27" s="189" customFormat="1" ht="15.75" customHeight="1" hidden="1">
      <c r="A431" s="202"/>
      <c r="B431" s="219" t="s">
        <v>676</v>
      </c>
      <c r="C431" s="299"/>
      <c r="D431" s="299"/>
      <c r="E431" s="299"/>
      <c r="F431" s="299"/>
      <c r="G431" s="299"/>
      <c r="H431" s="299"/>
      <c r="I431" s="192"/>
      <c r="J431" s="192"/>
      <c r="K431" s="187">
        <f>E431+G431-I431</f>
        <v>0</v>
      </c>
      <c r="L431" s="188"/>
      <c r="Y431" s="466"/>
      <c r="Z431" s="466"/>
      <c r="AA431" s="466"/>
    </row>
    <row r="432" spans="1:27" s="189" customFormat="1" ht="15.75" customHeight="1" hidden="1">
      <c r="A432" s="202"/>
      <c r="B432" s="219" t="s">
        <v>677</v>
      </c>
      <c r="C432" s="299"/>
      <c r="D432" s="299"/>
      <c r="E432" s="299"/>
      <c r="F432" s="299"/>
      <c r="G432" s="299"/>
      <c r="H432" s="299"/>
      <c r="I432" s="192"/>
      <c r="J432" s="192"/>
      <c r="K432" s="187">
        <f>E432+G432-I432</f>
        <v>0</v>
      </c>
      <c r="L432" s="188"/>
      <c r="Y432" s="466"/>
      <c r="Z432" s="466"/>
      <c r="AA432" s="466"/>
    </row>
    <row r="433" spans="1:27" s="189" customFormat="1" ht="15.75" customHeight="1" hidden="1">
      <c r="A433" s="202"/>
      <c r="B433" s="312" t="s">
        <v>678</v>
      </c>
      <c r="C433" s="354"/>
      <c r="D433" s="299"/>
      <c r="E433" s="354"/>
      <c r="F433" s="299"/>
      <c r="G433" s="354"/>
      <c r="H433" s="299"/>
      <c r="I433" s="355"/>
      <c r="J433" s="192"/>
      <c r="K433" s="356">
        <f>E433+G433-I433</f>
        <v>0</v>
      </c>
      <c r="L433" s="188"/>
      <c r="Y433" s="466"/>
      <c r="Z433" s="466"/>
      <c r="AA433" s="466"/>
    </row>
    <row r="434" spans="1:27" s="189" customFormat="1" ht="15.75" customHeight="1" hidden="1">
      <c r="A434" s="202"/>
      <c r="B434" s="191"/>
      <c r="C434" s="191"/>
      <c r="D434" s="219"/>
      <c r="E434" s="191"/>
      <c r="F434" s="219"/>
      <c r="G434" s="191"/>
      <c r="H434" s="219"/>
      <c r="I434" s="192"/>
      <c r="J434" s="192"/>
      <c r="K434" s="192"/>
      <c r="L434" s="188"/>
      <c r="Y434" s="466"/>
      <c r="Z434" s="466"/>
      <c r="AA434" s="466"/>
    </row>
    <row r="435" spans="1:27" s="189" customFormat="1" ht="15.75" customHeight="1" hidden="1">
      <c r="A435" s="202"/>
      <c r="B435" s="186" t="s">
        <v>679</v>
      </c>
      <c r="C435" s="186"/>
      <c r="D435" s="186"/>
      <c r="E435" s="186"/>
      <c r="F435" s="186"/>
      <c r="G435" s="186"/>
      <c r="H435" s="186"/>
      <c r="I435" s="186"/>
      <c r="J435" s="186"/>
      <c r="K435" s="186"/>
      <c r="L435" s="188" t="s">
        <v>680</v>
      </c>
      <c r="Y435" s="466"/>
      <c r="Z435" s="466"/>
      <c r="AA435" s="466"/>
    </row>
    <row r="436" spans="1:27" s="238" customFormat="1" ht="19.5" customHeight="1" hidden="1">
      <c r="A436" s="185"/>
      <c r="B436" s="264" t="s">
        <v>681</v>
      </c>
      <c r="C436" s="282"/>
      <c r="D436" s="282"/>
      <c r="E436" s="282"/>
      <c r="F436" s="282"/>
      <c r="G436" s="282"/>
      <c r="H436" s="282"/>
      <c r="I436" s="282"/>
      <c r="J436" s="282"/>
      <c r="K436" s="357" t="s">
        <v>682</v>
      </c>
      <c r="L436" s="238" t="s">
        <v>683</v>
      </c>
      <c r="Y436" s="674"/>
      <c r="Z436" s="674"/>
      <c r="AA436" s="674"/>
    </row>
    <row r="437" spans="1:27" s="224" customFormat="1" ht="15.75" customHeight="1" hidden="1">
      <c r="A437" s="223"/>
      <c r="B437" s="265"/>
      <c r="C437" s="265" t="s">
        <v>684</v>
      </c>
      <c r="D437" s="265"/>
      <c r="E437" s="265"/>
      <c r="F437" s="265"/>
      <c r="G437" s="265"/>
      <c r="H437" s="265"/>
      <c r="I437" s="265"/>
      <c r="J437" s="265"/>
      <c r="K437" s="265"/>
      <c r="Y437" s="672"/>
      <c r="Z437" s="672"/>
      <c r="AA437" s="672"/>
    </row>
    <row r="438" spans="1:27" s="224" customFormat="1" ht="15.75" customHeight="1" hidden="1">
      <c r="A438" s="223"/>
      <c r="B438" s="265"/>
      <c r="C438" s="265" t="s">
        <v>685</v>
      </c>
      <c r="D438" s="265"/>
      <c r="E438" s="265"/>
      <c r="F438" s="265"/>
      <c r="G438" s="265"/>
      <c r="H438" s="265"/>
      <c r="I438" s="265"/>
      <c r="J438" s="265"/>
      <c r="K438" s="265"/>
      <c r="Y438" s="672"/>
      <c r="Z438" s="672"/>
      <c r="AA438" s="672"/>
    </row>
    <row r="439" spans="1:27" s="224" customFormat="1" ht="15.75" customHeight="1" hidden="1">
      <c r="A439" s="223"/>
      <c r="B439" s="265"/>
      <c r="C439" s="265" t="s">
        <v>686</v>
      </c>
      <c r="D439" s="265"/>
      <c r="E439" s="265"/>
      <c r="F439" s="265"/>
      <c r="G439" s="265"/>
      <c r="H439" s="265"/>
      <c r="I439" s="265"/>
      <c r="J439" s="265"/>
      <c r="K439" s="265"/>
      <c r="Y439" s="672"/>
      <c r="Z439" s="672"/>
      <c r="AA439" s="672"/>
    </row>
    <row r="440" spans="1:27" s="238" customFormat="1" ht="19.5" customHeight="1" hidden="1">
      <c r="A440" s="185"/>
      <c r="B440" s="264" t="s">
        <v>687</v>
      </c>
      <c r="C440" s="282"/>
      <c r="D440" s="282"/>
      <c r="E440" s="282"/>
      <c r="F440" s="282"/>
      <c r="G440" s="282"/>
      <c r="H440" s="282"/>
      <c r="I440" s="282"/>
      <c r="J440" s="282"/>
      <c r="K440" s="357" t="s">
        <v>682</v>
      </c>
      <c r="L440" s="238" t="s">
        <v>683</v>
      </c>
      <c r="Y440" s="674"/>
      <c r="Z440" s="674"/>
      <c r="AA440" s="674"/>
    </row>
    <row r="441" spans="1:27" s="224" customFormat="1" ht="15.75" customHeight="1" hidden="1">
      <c r="A441" s="223"/>
      <c r="B441" s="265"/>
      <c r="C441" s="265" t="s">
        <v>116</v>
      </c>
      <c r="D441" s="265"/>
      <c r="E441" s="265"/>
      <c r="F441" s="265"/>
      <c r="G441" s="265"/>
      <c r="H441" s="265"/>
      <c r="I441" s="265"/>
      <c r="J441" s="265"/>
      <c r="K441" s="358"/>
      <c r="Y441" s="672"/>
      <c r="Z441" s="672"/>
      <c r="AA441" s="672"/>
    </row>
    <row r="442" spans="1:27" s="224" customFormat="1" ht="15.75" customHeight="1" hidden="1">
      <c r="A442" s="223"/>
      <c r="B442" s="265"/>
      <c r="C442" s="265" t="s">
        <v>688</v>
      </c>
      <c r="D442" s="265"/>
      <c r="E442" s="265"/>
      <c r="F442" s="265"/>
      <c r="G442" s="265"/>
      <c r="H442" s="265"/>
      <c r="I442" s="265"/>
      <c r="J442" s="265"/>
      <c r="K442" s="358"/>
      <c r="Y442" s="672"/>
      <c r="Z442" s="672"/>
      <c r="AA442" s="672"/>
    </row>
    <row r="443" spans="1:27" s="238" customFormat="1" ht="19.5" customHeight="1" hidden="1">
      <c r="A443" s="185"/>
      <c r="B443" s="264" t="s">
        <v>689</v>
      </c>
      <c r="C443" s="282"/>
      <c r="D443" s="282"/>
      <c r="E443" s="282"/>
      <c r="F443" s="282"/>
      <c r="G443" s="282"/>
      <c r="H443" s="282"/>
      <c r="I443" s="282"/>
      <c r="J443" s="282"/>
      <c r="K443" s="357"/>
      <c r="L443" s="238" t="s">
        <v>683</v>
      </c>
      <c r="Y443" s="674"/>
      <c r="Z443" s="674"/>
      <c r="AA443" s="674"/>
    </row>
    <row r="444" spans="1:27" s="189" customFormat="1" ht="15.75" customHeight="1" hidden="1">
      <c r="A444" s="223"/>
      <c r="B444" s="358"/>
      <c r="C444" s="232" t="s">
        <v>690</v>
      </c>
      <c r="D444" s="232"/>
      <c r="E444" s="332"/>
      <c r="F444" s="232"/>
      <c r="G444" s="232"/>
      <c r="H444" s="232"/>
      <c r="I444" s="234"/>
      <c r="J444" s="234"/>
      <c r="K444" s="234"/>
      <c r="L444" s="188" t="s">
        <v>691</v>
      </c>
      <c r="Y444" s="466"/>
      <c r="Z444" s="466"/>
      <c r="AA444" s="466"/>
    </row>
    <row r="445" spans="1:27" s="189" customFormat="1" ht="15.75" customHeight="1" hidden="1">
      <c r="A445" s="223"/>
      <c r="B445" s="358"/>
      <c r="C445" s="232" t="s">
        <v>692</v>
      </c>
      <c r="D445" s="232"/>
      <c r="E445" s="332"/>
      <c r="F445" s="232"/>
      <c r="G445" s="232"/>
      <c r="H445" s="232"/>
      <c r="I445" s="234"/>
      <c r="J445" s="234"/>
      <c r="K445" s="234"/>
      <c r="L445" s="188" t="s">
        <v>693</v>
      </c>
      <c r="Y445" s="466"/>
      <c r="Z445" s="466"/>
      <c r="AA445" s="466"/>
    </row>
    <row r="446" spans="1:27" s="189" customFormat="1" ht="15.75" customHeight="1" hidden="1">
      <c r="A446" s="223"/>
      <c r="B446" s="358"/>
      <c r="C446" s="232" t="s">
        <v>694</v>
      </c>
      <c r="D446" s="232"/>
      <c r="E446" s="332"/>
      <c r="F446" s="232"/>
      <c r="G446" s="232"/>
      <c r="H446" s="232"/>
      <c r="I446" s="234"/>
      <c r="J446" s="234"/>
      <c r="K446" s="234"/>
      <c r="L446" s="188" t="s">
        <v>695</v>
      </c>
      <c r="Y446" s="466"/>
      <c r="Z446" s="466"/>
      <c r="AA446" s="466"/>
    </row>
    <row r="447" spans="1:27" s="189" customFormat="1" ht="15.75" customHeight="1" hidden="1">
      <c r="A447" s="223"/>
      <c r="B447" s="232"/>
      <c r="C447" s="232"/>
      <c r="D447" s="232"/>
      <c r="E447" s="332"/>
      <c r="F447" s="232"/>
      <c r="G447" s="232"/>
      <c r="H447" s="232"/>
      <c r="I447" s="234"/>
      <c r="J447" s="234"/>
      <c r="K447" s="234"/>
      <c r="L447" s="188"/>
      <c r="Y447" s="466"/>
      <c r="Z447" s="466"/>
      <c r="AA447" s="466"/>
    </row>
    <row r="448" spans="1:27" s="189" customFormat="1" ht="35.25" customHeight="1" thickTop="1">
      <c r="A448" s="223"/>
      <c r="B448" s="775" t="s">
        <v>696</v>
      </c>
      <c r="C448" s="775"/>
      <c r="D448" s="775"/>
      <c r="E448" s="775"/>
      <c r="F448" s="775"/>
      <c r="G448" s="775"/>
      <c r="H448" s="775"/>
      <c r="I448" s="775"/>
      <c r="J448" s="775"/>
      <c r="K448" s="775"/>
      <c r="L448" s="188"/>
      <c r="Y448" s="466"/>
      <c r="Z448" s="466"/>
      <c r="AA448" s="466"/>
    </row>
    <row r="449" spans="1:27" s="189" customFormat="1" ht="20.25" customHeight="1">
      <c r="A449" s="223"/>
      <c r="B449" s="776" t="s">
        <v>697</v>
      </c>
      <c r="C449" s="776"/>
      <c r="D449" s="776"/>
      <c r="E449" s="776"/>
      <c r="F449" s="776"/>
      <c r="G449" s="776"/>
      <c r="H449" s="776"/>
      <c r="I449" s="776"/>
      <c r="J449" s="776"/>
      <c r="K449" s="776"/>
      <c r="L449" s="360"/>
      <c r="Y449" s="466"/>
      <c r="Z449" s="466"/>
      <c r="AA449" s="466"/>
    </row>
    <row r="450" spans="1:27" s="189" customFormat="1" ht="30" customHeight="1">
      <c r="A450" s="281" t="s">
        <v>442</v>
      </c>
      <c r="B450" s="186" t="s">
        <v>698</v>
      </c>
      <c r="C450" s="191"/>
      <c r="D450" s="191"/>
      <c r="E450" s="191"/>
      <c r="F450" s="191"/>
      <c r="G450" s="361"/>
      <c r="H450" s="191"/>
      <c r="I450" s="187"/>
      <c r="J450" s="187"/>
      <c r="K450" s="187"/>
      <c r="L450" s="188"/>
      <c r="Y450" s="466"/>
      <c r="Z450" s="466"/>
      <c r="AA450" s="466"/>
    </row>
    <row r="451" spans="1:27" s="189" customFormat="1" ht="19.5" customHeight="1">
      <c r="A451" s="281"/>
      <c r="B451" s="362" t="s">
        <v>1056</v>
      </c>
      <c r="C451" s="191"/>
      <c r="D451" s="191"/>
      <c r="E451" s="363"/>
      <c r="F451" s="363"/>
      <c r="G451" s="363"/>
      <c r="H451" s="364"/>
      <c r="I451" s="365"/>
      <c r="J451" s="365"/>
      <c r="K451" s="365"/>
      <c r="L451" s="188"/>
      <c r="Y451" s="466"/>
      <c r="Z451" s="466"/>
      <c r="AA451" s="466"/>
    </row>
    <row r="452" spans="1:27" s="189" customFormat="1" ht="3.75" customHeight="1">
      <c r="A452" s="281"/>
      <c r="B452" s="362"/>
      <c r="C452" s="191"/>
      <c r="D452" s="191"/>
      <c r="E452" s="363"/>
      <c r="F452" s="363"/>
      <c r="G452" s="363"/>
      <c r="H452" s="364"/>
      <c r="I452" s="365"/>
      <c r="J452" s="365"/>
      <c r="K452" s="365"/>
      <c r="L452" s="188"/>
      <c r="Y452" s="466"/>
      <c r="Z452" s="466"/>
      <c r="AA452" s="466"/>
    </row>
    <row r="453" spans="1:27" s="189" customFormat="1" ht="19.5" customHeight="1">
      <c r="A453" s="281"/>
      <c r="B453" s="366"/>
      <c r="C453" s="350"/>
      <c r="D453" s="219"/>
      <c r="E453" s="777" t="s">
        <v>119</v>
      </c>
      <c r="F453" s="777"/>
      <c r="G453" s="777"/>
      <c r="H453" s="367"/>
      <c r="I453" s="259" t="s">
        <v>184</v>
      </c>
      <c r="J453" s="309"/>
      <c r="K453" s="259" t="s">
        <v>699</v>
      </c>
      <c r="L453" s="188"/>
      <c r="Y453" s="466"/>
      <c r="Z453" s="466"/>
      <c r="AA453" s="466"/>
    </row>
    <row r="454" spans="1:27" s="189" customFormat="1" ht="42.75" customHeight="1">
      <c r="A454" s="281"/>
      <c r="B454" s="775" t="s">
        <v>700</v>
      </c>
      <c r="C454" s="775"/>
      <c r="D454" s="219"/>
      <c r="E454" s="778" t="s">
        <v>701</v>
      </c>
      <c r="F454" s="778"/>
      <c r="G454" s="778"/>
      <c r="H454" s="367"/>
      <c r="I454" s="368">
        <v>1</v>
      </c>
      <c r="J454" s="309"/>
      <c r="K454" s="325">
        <v>2376157322</v>
      </c>
      <c r="L454" s="188"/>
      <c r="Y454" s="466"/>
      <c r="Z454" s="466"/>
      <c r="AA454" s="466"/>
    </row>
    <row r="455" spans="1:27" s="238" customFormat="1" ht="23.25" customHeight="1">
      <c r="A455" s="281"/>
      <c r="B455" s="779" t="s">
        <v>702</v>
      </c>
      <c r="C455" s="779"/>
      <c r="D455" s="369"/>
      <c r="E455" s="780" t="s">
        <v>703</v>
      </c>
      <c r="F455" s="780"/>
      <c r="G455" s="780"/>
      <c r="H455" s="370"/>
      <c r="I455" s="368">
        <v>1</v>
      </c>
      <c r="J455" s="371"/>
      <c r="K455" s="372" t="s">
        <v>704</v>
      </c>
      <c r="Y455" s="674"/>
      <c r="Z455" s="674"/>
      <c r="AA455" s="674"/>
    </row>
    <row r="456" spans="1:27" s="380" customFormat="1" ht="48.75" customHeight="1" thickBot="1">
      <c r="A456" s="373"/>
      <c r="B456" s="781" t="s">
        <v>705</v>
      </c>
      <c r="C456" s="781"/>
      <c r="D456" s="374"/>
      <c r="E456" s="782" t="s">
        <v>703</v>
      </c>
      <c r="F456" s="782"/>
      <c r="G456" s="782"/>
      <c r="H456" s="375"/>
      <c r="I456" s="376">
        <v>1</v>
      </c>
      <c r="J456" s="377"/>
      <c r="K456" s="378" t="s">
        <v>706</v>
      </c>
      <c r="L456" s="379"/>
      <c r="Y456" s="615"/>
      <c r="Z456" s="615"/>
      <c r="AA456" s="615"/>
    </row>
    <row r="457" spans="1:27" s="238" customFormat="1" ht="15.75" customHeight="1" hidden="1">
      <c r="A457" s="281"/>
      <c r="B457" s="186" t="s">
        <v>707</v>
      </c>
      <c r="C457" s="186"/>
      <c r="D457" s="186"/>
      <c r="E457" s="381"/>
      <c r="F457" s="381"/>
      <c r="G457" s="382"/>
      <c r="H457" s="383"/>
      <c r="I457" s="383"/>
      <c r="J457" s="72"/>
      <c r="K457" s="383"/>
      <c r="Y457" s="674"/>
      <c r="Z457" s="674"/>
      <c r="AA457" s="674"/>
    </row>
    <row r="458" spans="1:27" s="189" customFormat="1" ht="15.75" customHeight="1" hidden="1">
      <c r="A458" s="281"/>
      <c r="B458" s="384"/>
      <c r="C458" s="191" t="s">
        <v>708</v>
      </c>
      <c r="D458" s="191"/>
      <c r="E458" s="385"/>
      <c r="F458" s="385"/>
      <c r="G458" s="386"/>
      <c r="H458" s="387"/>
      <c r="I458" s="184"/>
      <c r="J458" s="184"/>
      <c r="K458" s="184"/>
      <c r="L458" s="188"/>
      <c r="Y458" s="466"/>
      <c r="Z458" s="466"/>
      <c r="AA458" s="466"/>
    </row>
    <row r="459" spans="1:27" s="224" customFormat="1" ht="15.75" customHeight="1" hidden="1">
      <c r="A459" s="373"/>
      <c r="B459" s="362"/>
      <c r="C459" s="388" t="s">
        <v>709</v>
      </c>
      <c r="D459" s="232"/>
      <c r="E459" s="385"/>
      <c r="F459" s="385"/>
      <c r="G459" s="386"/>
      <c r="H459" s="387"/>
      <c r="I459" s="184"/>
      <c r="J459" s="184"/>
      <c r="K459" s="184"/>
      <c r="Y459" s="672"/>
      <c r="Z459" s="672"/>
      <c r="AA459" s="672"/>
    </row>
    <row r="460" spans="1:27" s="189" customFormat="1" ht="15.75" customHeight="1" hidden="1">
      <c r="A460" s="281"/>
      <c r="B460" s="384"/>
      <c r="C460" s="191" t="s">
        <v>710</v>
      </c>
      <c r="D460" s="191"/>
      <c r="E460" s="385"/>
      <c r="F460" s="385"/>
      <c r="G460" s="386"/>
      <c r="H460" s="387"/>
      <c r="I460" s="184"/>
      <c r="J460" s="184"/>
      <c r="K460" s="184"/>
      <c r="L460" s="188"/>
      <c r="Y460" s="466"/>
      <c r="Z460" s="466"/>
      <c r="AA460" s="466"/>
    </row>
    <row r="461" spans="1:27" s="189" customFormat="1" ht="15.75" customHeight="1" hidden="1">
      <c r="A461" s="281"/>
      <c r="B461" s="384"/>
      <c r="C461" s="388" t="s">
        <v>711</v>
      </c>
      <c r="D461" s="191"/>
      <c r="E461" s="385"/>
      <c r="F461" s="385"/>
      <c r="G461" s="386"/>
      <c r="H461" s="387"/>
      <c r="I461" s="184"/>
      <c r="J461" s="184"/>
      <c r="K461" s="184"/>
      <c r="L461" s="188"/>
      <c r="Y461" s="466"/>
      <c r="Z461" s="466"/>
      <c r="AA461" s="466"/>
    </row>
    <row r="462" spans="1:27" s="189" customFormat="1" ht="15.75" customHeight="1" hidden="1">
      <c r="A462" s="281"/>
      <c r="B462" s="384"/>
      <c r="C462" s="191" t="s">
        <v>712</v>
      </c>
      <c r="D462" s="191"/>
      <c r="E462" s="385"/>
      <c r="F462" s="385"/>
      <c r="G462" s="386"/>
      <c r="H462" s="387"/>
      <c r="I462" s="184"/>
      <c r="J462" s="184"/>
      <c r="K462" s="184"/>
      <c r="L462" s="188"/>
      <c r="Y462" s="466"/>
      <c r="Z462" s="466"/>
      <c r="AA462" s="466"/>
    </row>
    <row r="463" spans="1:27" s="189" customFormat="1" ht="15.75" customHeight="1" hidden="1">
      <c r="A463" s="281"/>
      <c r="B463" s="384"/>
      <c r="C463" s="191" t="s">
        <v>713</v>
      </c>
      <c r="D463" s="191"/>
      <c r="E463" s="385"/>
      <c r="F463" s="385"/>
      <c r="G463" s="386"/>
      <c r="H463" s="387"/>
      <c r="I463" s="184"/>
      <c r="J463" s="184"/>
      <c r="K463" s="184"/>
      <c r="L463" s="188"/>
      <c r="Y463" s="466"/>
      <c r="Z463" s="466"/>
      <c r="AA463" s="466"/>
    </row>
    <row r="464" spans="1:27" s="189" customFormat="1" ht="15.75" customHeight="1" hidden="1">
      <c r="A464" s="281"/>
      <c r="B464" s="384"/>
      <c r="C464" s="191" t="s">
        <v>8</v>
      </c>
      <c r="D464" s="191"/>
      <c r="E464" s="385"/>
      <c r="F464" s="385"/>
      <c r="G464" s="386"/>
      <c r="H464" s="387"/>
      <c r="I464" s="184"/>
      <c r="J464" s="184"/>
      <c r="K464" s="184"/>
      <c r="L464" s="188"/>
      <c r="Y464" s="466"/>
      <c r="Z464" s="466"/>
      <c r="AA464" s="466"/>
    </row>
    <row r="465" spans="1:27" s="238" customFormat="1" ht="42" customHeight="1" hidden="1">
      <c r="A465" s="281"/>
      <c r="B465" s="783" t="s">
        <v>714</v>
      </c>
      <c r="C465" s="783"/>
      <c r="D465" s="186"/>
      <c r="E465" s="381"/>
      <c r="F465" s="381"/>
      <c r="G465" s="382"/>
      <c r="H465" s="383"/>
      <c r="I465" s="72"/>
      <c r="J465" s="72"/>
      <c r="K465" s="72"/>
      <c r="L465" s="238" t="s">
        <v>715</v>
      </c>
      <c r="Y465" s="674"/>
      <c r="Z465" s="674"/>
      <c r="AA465" s="674"/>
    </row>
    <row r="466" spans="1:27" s="189" customFormat="1" ht="30" customHeight="1" hidden="1">
      <c r="A466" s="223"/>
      <c r="B466" s="186" t="s">
        <v>588</v>
      </c>
      <c r="C466" s="186"/>
      <c r="D466" s="232"/>
      <c r="E466" s="232"/>
      <c r="F466" s="232"/>
      <c r="G466" s="232"/>
      <c r="H466" s="232"/>
      <c r="I466" s="187"/>
      <c r="J466" s="187"/>
      <c r="K466" s="187"/>
      <c r="L466" s="257"/>
      <c r="M466" s="257"/>
      <c r="Y466" s="466"/>
      <c r="Z466" s="466"/>
      <c r="AA466" s="466"/>
    </row>
    <row r="467" spans="1:27" s="189" customFormat="1" ht="7.5" customHeight="1" thickTop="1">
      <c r="A467" s="223"/>
      <c r="B467" s="186"/>
      <c r="C467" s="186"/>
      <c r="D467" s="232"/>
      <c r="E467" s="232"/>
      <c r="F467" s="232"/>
      <c r="G467" s="232"/>
      <c r="H467" s="232"/>
      <c r="I467" s="187"/>
      <c r="J467" s="187"/>
      <c r="K467" s="187"/>
      <c r="L467" s="257"/>
      <c r="M467" s="257"/>
      <c r="Y467" s="466"/>
      <c r="Z467" s="466"/>
      <c r="AA467" s="466"/>
    </row>
    <row r="468" spans="1:27" s="189" customFormat="1" ht="60" customHeight="1">
      <c r="A468" s="223"/>
      <c r="B468" s="784"/>
      <c r="C468" s="784"/>
      <c r="D468" s="784"/>
      <c r="E468" s="784"/>
      <c r="F468" s="784"/>
      <c r="G468" s="784"/>
      <c r="H468" s="784"/>
      <c r="I468" s="784"/>
      <c r="J468" s="784"/>
      <c r="K468" s="784"/>
      <c r="L468" s="257"/>
      <c r="M468" s="257"/>
      <c r="Y468" s="466"/>
      <c r="Z468" s="466"/>
      <c r="AA468" s="466"/>
    </row>
    <row r="469" spans="1:27" s="189" customFormat="1" ht="30" customHeight="1">
      <c r="A469" s="281" t="s">
        <v>448</v>
      </c>
      <c r="B469" s="282" t="s">
        <v>716</v>
      </c>
      <c r="C469" s="191"/>
      <c r="D469" s="191"/>
      <c r="E469" s="191"/>
      <c r="F469" s="191"/>
      <c r="G469" s="191"/>
      <c r="H469" s="191"/>
      <c r="I469" s="248" t="s">
        <v>1055</v>
      </c>
      <c r="J469" s="248"/>
      <c r="K469" s="248" t="str">
        <f>'[1]TTC'!D13</f>
        <v>01/01/2012</v>
      </c>
      <c r="L469" s="188"/>
      <c r="Y469" s="466"/>
      <c r="Z469" s="466"/>
      <c r="AA469" s="466"/>
    </row>
    <row r="470" spans="1:27" s="189" customFormat="1" ht="15.75" customHeight="1">
      <c r="A470" s="185"/>
      <c r="B470" s="186" t="s">
        <v>717</v>
      </c>
      <c r="C470" s="186"/>
      <c r="D470" s="186"/>
      <c r="E470" s="186"/>
      <c r="F470" s="186"/>
      <c r="G470" s="186"/>
      <c r="H470" s="186"/>
      <c r="I470" s="72">
        <f>SUM(I471:I475)</f>
        <v>8652219664</v>
      </c>
      <c r="J470" s="72"/>
      <c r="K470" s="72">
        <f>SUM(K471:K475)</f>
        <v>9113609652</v>
      </c>
      <c r="L470" s="257">
        <f>I470-'[1]CDKT '!I70</f>
        <v>61476124</v>
      </c>
      <c r="M470" s="257">
        <f>K470-'[1]CDKT '!K70</f>
        <v>0</v>
      </c>
      <c r="Y470" s="466"/>
      <c r="Z470" s="466"/>
      <c r="AA470" s="466"/>
    </row>
    <row r="471" spans="1:27" s="189" customFormat="1" ht="15" hidden="1">
      <c r="A471" s="223"/>
      <c r="B471" s="232"/>
      <c r="C471" s="242" t="s">
        <v>718</v>
      </c>
      <c r="D471" s="232"/>
      <c r="E471" s="232"/>
      <c r="F471" s="232"/>
      <c r="G471" s="232"/>
      <c r="H471" s="232"/>
      <c r="I471" s="258"/>
      <c r="J471" s="258"/>
      <c r="K471" s="258"/>
      <c r="L471" s="188"/>
      <c r="Y471" s="466"/>
      <c r="Z471" s="466"/>
      <c r="AA471" s="466"/>
    </row>
    <row r="472" spans="1:27" s="189" customFormat="1" ht="15">
      <c r="A472" s="223"/>
      <c r="B472" s="232"/>
      <c r="C472" s="358" t="s">
        <v>719</v>
      </c>
      <c r="D472" s="232"/>
      <c r="E472" s="232"/>
      <c r="F472" s="232"/>
      <c r="G472" s="232"/>
      <c r="H472" s="232"/>
      <c r="I472" s="258">
        <v>8652219664</v>
      </c>
      <c r="J472" s="258"/>
      <c r="K472" s="258">
        <v>9113609652</v>
      </c>
      <c r="L472" s="277">
        <f>412461.28*20828</f>
        <v>8590743539.84</v>
      </c>
      <c r="Y472" s="466"/>
      <c r="Z472" s="466"/>
      <c r="AA472" s="466"/>
    </row>
    <row r="473" spans="1:27" s="189" customFormat="1" ht="15" hidden="1">
      <c r="A473" s="223"/>
      <c r="B473" s="232"/>
      <c r="C473" s="242" t="s">
        <v>720</v>
      </c>
      <c r="D473" s="232"/>
      <c r="E473" s="232"/>
      <c r="F473" s="232"/>
      <c r="G473" s="232"/>
      <c r="H473" s="232"/>
      <c r="I473" s="258"/>
      <c r="J473" s="258"/>
      <c r="K473" s="258"/>
      <c r="L473" s="277"/>
      <c r="Y473" s="466"/>
      <c r="Z473" s="466"/>
      <c r="AA473" s="466"/>
    </row>
    <row r="474" spans="1:27" s="189" customFormat="1" ht="15" hidden="1">
      <c r="A474" s="223"/>
      <c r="B474" s="232"/>
      <c r="C474" s="242" t="s">
        <v>721</v>
      </c>
      <c r="D474" s="232"/>
      <c r="E474" s="232"/>
      <c r="F474" s="232"/>
      <c r="G474" s="232"/>
      <c r="H474" s="232"/>
      <c r="I474" s="258"/>
      <c r="J474" s="258"/>
      <c r="K474" s="258"/>
      <c r="L474" s="277"/>
      <c r="Y474" s="466"/>
      <c r="Z474" s="466"/>
      <c r="AA474" s="466"/>
    </row>
    <row r="475" spans="1:27" s="189" customFormat="1" ht="15" hidden="1">
      <c r="A475" s="223"/>
      <c r="B475" s="232"/>
      <c r="C475" s="242" t="s">
        <v>722</v>
      </c>
      <c r="D475" s="232"/>
      <c r="E475" s="232"/>
      <c r="F475" s="232"/>
      <c r="G475" s="232"/>
      <c r="H475" s="232"/>
      <c r="I475" s="258"/>
      <c r="J475" s="258"/>
      <c r="K475" s="258"/>
      <c r="L475" s="277"/>
      <c r="Y475" s="466"/>
      <c r="Z475" s="466"/>
      <c r="AA475" s="466"/>
    </row>
    <row r="476" spans="1:27" s="189" customFormat="1" ht="15">
      <c r="A476" s="185"/>
      <c r="B476" s="186" t="s">
        <v>63</v>
      </c>
      <c r="C476" s="186"/>
      <c r="D476" s="186"/>
      <c r="E476" s="186"/>
      <c r="F476" s="186"/>
      <c r="G476" s="186"/>
      <c r="H476" s="186"/>
      <c r="I476" s="72">
        <f>I477</f>
        <v>45980000</v>
      </c>
      <c r="J476" s="72"/>
      <c r="K476" s="72">
        <f>K477</f>
        <v>45821600</v>
      </c>
      <c r="L476" s="257">
        <f>I476-'[1]CDKT '!I72</f>
        <v>158400</v>
      </c>
      <c r="M476" s="257">
        <f>K476-'[1]CDKT '!K72</f>
        <v>0</v>
      </c>
      <c r="Y476" s="466"/>
      <c r="Z476" s="466"/>
      <c r="AA476" s="466"/>
    </row>
    <row r="477" spans="1:27" s="225" customFormat="1" ht="15">
      <c r="A477" s="223"/>
      <c r="B477" s="232"/>
      <c r="C477" s="232" t="s">
        <v>723</v>
      </c>
      <c r="D477" s="232"/>
      <c r="E477" s="232"/>
      <c r="F477" s="232"/>
      <c r="G477" s="232"/>
      <c r="H477" s="232"/>
      <c r="I477" s="258">
        <v>45980000</v>
      </c>
      <c r="J477" s="258"/>
      <c r="K477" s="258">
        <v>45821600</v>
      </c>
      <c r="L477" s="277">
        <f>400*20828+1800*20828</f>
        <v>45821600</v>
      </c>
      <c r="M477" s="390">
        <f>I477-K477</f>
        <v>158400</v>
      </c>
      <c r="N477" s="391" t="s">
        <v>613</v>
      </c>
      <c r="Y477" s="672"/>
      <c r="Z477" s="672"/>
      <c r="AA477" s="672"/>
    </row>
    <row r="478" spans="1:27" s="224" customFormat="1" ht="15" hidden="1">
      <c r="A478" s="223"/>
      <c r="B478" s="232"/>
      <c r="C478" s="392" t="s">
        <v>724</v>
      </c>
      <c r="D478" s="359"/>
      <c r="E478" s="359"/>
      <c r="F478" s="359"/>
      <c r="G478" s="359"/>
      <c r="H478" s="359"/>
      <c r="I478" s="322"/>
      <c r="J478" s="322"/>
      <c r="K478" s="322"/>
      <c r="Y478" s="672"/>
      <c r="Z478" s="672"/>
      <c r="AA478" s="672"/>
    </row>
    <row r="479" spans="1:27" s="189" customFormat="1" ht="21" customHeight="1" thickBot="1">
      <c r="A479" s="223"/>
      <c r="B479" s="186"/>
      <c r="C479" s="186" t="s">
        <v>150</v>
      </c>
      <c r="D479" s="232"/>
      <c r="E479" s="232"/>
      <c r="F479" s="232"/>
      <c r="G479" s="232"/>
      <c r="H479" s="232"/>
      <c r="I479" s="254">
        <f>I476+I470</f>
        <v>8698199664</v>
      </c>
      <c r="J479" s="72"/>
      <c r="K479" s="254">
        <f>K476+K470</f>
        <v>9159431252</v>
      </c>
      <c r="L479" s="257">
        <f>I479-'[1]CDKT '!I70-'[1]CDKT '!I72</f>
        <v>61634524</v>
      </c>
      <c r="M479" s="257">
        <f>K479-'[1]CDKT '!K70-'[1]CDKT '!K72</f>
        <v>0</v>
      </c>
      <c r="Y479" s="466"/>
      <c r="Z479" s="466"/>
      <c r="AA479" s="466"/>
    </row>
    <row r="480" spans="1:27" s="189" customFormat="1" ht="21" customHeight="1" thickTop="1">
      <c r="A480" s="223"/>
      <c r="B480" s="186"/>
      <c r="C480" s="186"/>
      <c r="D480" s="232"/>
      <c r="E480" s="232"/>
      <c r="F480" s="232"/>
      <c r="G480" s="232"/>
      <c r="H480" s="232"/>
      <c r="I480" s="72"/>
      <c r="J480" s="72"/>
      <c r="K480" s="72"/>
      <c r="L480" s="257"/>
      <c r="M480" s="257"/>
      <c r="Y480" s="466"/>
      <c r="Z480" s="466"/>
      <c r="AA480" s="466"/>
    </row>
    <row r="481" spans="1:27" s="189" customFormat="1" ht="30" customHeight="1" hidden="1">
      <c r="A481" s="281" t="s">
        <v>725</v>
      </c>
      <c r="B481" s="282" t="s">
        <v>726</v>
      </c>
      <c r="C481" s="191"/>
      <c r="D481" s="191"/>
      <c r="E481" s="191"/>
      <c r="F481" s="191"/>
      <c r="G481" s="191"/>
      <c r="H481" s="191"/>
      <c r="I481" s="248" t="str">
        <f>I469</f>
        <v>30/09/2012</v>
      </c>
      <c r="J481" s="248"/>
      <c r="K481" s="248" t="str">
        <f>K469</f>
        <v>01/01/2012</v>
      </c>
      <c r="L481" s="188"/>
      <c r="Y481" s="466"/>
      <c r="Z481" s="466"/>
      <c r="AA481" s="466"/>
    </row>
    <row r="482" spans="1:27" s="189" customFormat="1" ht="15" hidden="1">
      <c r="A482" s="223"/>
      <c r="B482" s="226" t="s">
        <v>727</v>
      </c>
      <c r="C482" s="242"/>
      <c r="D482" s="232"/>
      <c r="E482" s="232"/>
      <c r="F482" s="232"/>
      <c r="G482" s="232"/>
      <c r="H482" s="232"/>
      <c r="I482" s="258"/>
      <c r="J482" s="258"/>
      <c r="K482" s="258"/>
      <c r="L482" s="188"/>
      <c r="Y482" s="466"/>
      <c r="Z482" s="466"/>
      <c r="AA482" s="466"/>
    </row>
    <row r="483" spans="1:27" s="189" customFormat="1" ht="15" hidden="1">
      <c r="A483" s="223"/>
      <c r="B483" s="191" t="s">
        <v>728</v>
      </c>
      <c r="C483" s="242"/>
      <c r="D483" s="232"/>
      <c r="E483" s="232"/>
      <c r="F483" s="232"/>
      <c r="G483" s="232"/>
      <c r="H483" s="232"/>
      <c r="I483" s="258"/>
      <c r="J483" s="258"/>
      <c r="K483" s="258"/>
      <c r="L483" s="188"/>
      <c r="Y483" s="466"/>
      <c r="Z483" s="466"/>
      <c r="AA483" s="466"/>
    </row>
    <row r="484" spans="1:27" s="189" customFormat="1" ht="21" customHeight="1" hidden="1">
      <c r="A484" s="223"/>
      <c r="B484" s="186"/>
      <c r="C484" s="186" t="s">
        <v>150</v>
      </c>
      <c r="D484" s="232"/>
      <c r="E484" s="232"/>
      <c r="F484" s="232"/>
      <c r="G484" s="232"/>
      <c r="H484" s="232"/>
      <c r="I484" s="254">
        <f>SUM(I482:I483)</f>
        <v>0</v>
      </c>
      <c r="J484" s="72"/>
      <c r="K484" s="254">
        <f>SUM(K482:K483)</f>
        <v>0</v>
      </c>
      <c r="L484" s="257">
        <f>I484-'[1]CDKT '!I71</f>
        <v>0</v>
      </c>
      <c r="M484" s="257">
        <f>K484-'[1]CDKT '!K71</f>
        <v>0</v>
      </c>
      <c r="Y484" s="466"/>
      <c r="Z484" s="466"/>
      <c r="AA484" s="466"/>
    </row>
    <row r="485" spans="1:27" s="189" customFormat="1" ht="30" customHeight="1">
      <c r="A485" s="281" t="s">
        <v>725</v>
      </c>
      <c r="B485" s="282" t="s">
        <v>70</v>
      </c>
      <c r="C485" s="191"/>
      <c r="D485" s="191"/>
      <c r="E485" s="191"/>
      <c r="F485" s="191"/>
      <c r="G485" s="191"/>
      <c r="H485" s="191"/>
      <c r="I485" s="248" t="s">
        <v>1055</v>
      </c>
      <c r="J485" s="248"/>
      <c r="K485" s="248" t="str">
        <f>'[1]TTC'!D13</f>
        <v>01/01/2012</v>
      </c>
      <c r="L485" s="188"/>
      <c r="Y485" s="466"/>
      <c r="Z485" s="466"/>
      <c r="AA485" s="466"/>
    </row>
    <row r="486" spans="1:27" s="238" customFormat="1" ht="15.75" customHeight="1">
      <c r="A486" s="185"/>
      <c r="B486" s="186" t="s">
        <v>729</v>
      </c>
      <c r="C486" s="186"/>
      <c r="D486" s="186"/>
      <c r="E486" s="186"/>
      <c r="F486" s="186"/>
      <c r="G486" s="186"/>
      <c r="H486" s="186"/>
      <c r="I486" s="72">
        <f>I487+I489</f>
        <v>41263085431</v>
      </c>
      <c r="J486" s="72"/>
      <c r="K486" s="72">
        <f>K487+K489</f>
        <v>26302628798</v>
      </c>
      <c r="Y486" s="674"/>
      <c r="Z486" s="674"/>
      <c r="AA486" s="674"/>
    </row>
    <row r="487" spans="1:27" s="188" customFormat="1" ht="15.75" customHeight="1">
      <c r="A487" s="202"/>
      <c r="B487" s="226" t="s">
        <v>666</v>
      </c>
      <c r="C487" s="393" t="s">
        <v>730</v>
      </c>
      <c r="D487" s="191"/>
      <c r="E487" s="191"/>
      <c r="F487" s="191"/>
      <c r="G487" s="191"/>
      <c r="H487" s="191"/>
      <c r="I487" s="184">
        <f>SUM(I488:I488)</f>
        <v>41263085431</v>
      </c>
      <c r="J487" s="184"/>
      <c r="K487" s="184">
        <f>SUM(K488:K488)</f>
        <v>26302628798</v>
      </c>
      <c r="Y487" s="466"/>
      <c r="Z487" s="466"/>
      <c r="AA487" s="466"/>
    </row>
    <row r="488" spans="1:27" s="224" customFormat="1" ht="15.75" customHeight="1">
      <c r="A488" s="223"/>
      <c r="B488" s="232"/>
      <c r="C488" s="394" t="s">
        <v>731</v>
      </c>
      <c r="D488" s="232"/>
      <c r="E488" s="232"/>
      <c r="F488" s="232"/>
      <c r="G488" s="232"/>
      <c r="H488" s="232"/>
      <c r="I488" s="258">
        <f>40504850099+758235332</f>
        <v>41263085431</v>
      </c>
      <c r="J488" s="258"/>
      <c r="K488" s="258">
        <f>24977759344+9908516954-8583647500</f>
        <v>26302628798</v>
      </c>
      <c r="Y488" s="672"/>
      <c r="Z488" s="672"/>
      <c r="AA488" s="672"/>
    </row>
    <row r="489" spans="1:27" s="188" customFormat="1" ht="15.75" customHeight="1" hidden="1">
      <c r="A489" s="202"/>
      <c r="B489" s="191"/>
      <c r="C489" s="393" t="s">
        <v>732</v>
      </c>
      <c r="D489" s="191"/>
      <c r="E489" s="191"/>
      <c r="F489" s="191"/>
      <c r="G489" s="191"/>
      <c r="H489" s="191"/>
      <c r="I489" s="184"/>
      <c r="J489" s="184"/>
      <c r="K489" s="184"/>
      <c r="Y489" s="466"/>
      <c r="Z489" s="466"/>
      <c r="AA489" s="466"/>
    </row>
    <row r="490" spans="1:27" s="238" customFormat="1" ht="15.75" customHeight="1">
      <c r="A490" s="185"/>
      <c r="B490" s="186" t="s">
        <v>733</v>
      </c>
      <c r="C490" s="395"/>
      <c r="D490" s="186"/>
      <c r="E490" s="186"/>
      <c r="F490" s="186"/>
      <c r="G490" s="186"/>
      <c r="H490" s="186"/>
      <c r="I490" s="72">
        <f>I491</f>
        <v>14213149500</v>
      </c>
      <c r="J490" s="72"/>
      <c r="K490" s="72">
        <f>K491</f>
        <v>16382367540</v>
      </c>
      <c r="Y490" s="674"/>
      <c r="Z490" s="674"/>
      <c r="AA490" s="674"/>
    </row>
    <row r="491" spans="1:27" s="224" customFormat="1" ht="15.75" customHeight="1">
      <c r="A491" s="223"/>
      <c r="B491" s="226" t="s">
        <v>668</v>
      </c>
      <c r="C491" s="394" t="s">
        <v>734</v>
      </c>
      <c r="D491" s="232"/>
      <c r="E491" s="232"/>
      <c r="F491" s="232"/>
      <c r="G491" s="232"/>
      <c r="H491" s="232"/>
      <c r="I491" s="258">
        <v>14213149500</v>
      </c>
      <c r="J491" s="258"/>
      <c r="K491" s="258">
        <v>16382367540</v>
      </c>
      <c r="L491" s="277">
        <f>680055*20828</f>
        <v>14164185540</v>
      </c>
      <c r="Y491" s="672"/>
      <c r="Z491" s="672"/>
      <c r="AA491" s="672"/>
    </row>
    <row r="492" spans="1:27" s="380" customFormat="1" ht="15.75" customHeight="1">
      <c r="A492" s="236"/>
      <c r="B492" s="319" t="s">
        <v>5</v>
      </c>
      <c r="C492" s="396"/>
      <c r="D492" s="195"/>
      <c r="E492" s="195"/>
      <c r="F492" s="195"/>
      <c r="G492" s="195"/>
      <c r="H492" s="195"/>
      <c r="I492" s="72"/>
      <c r="J492" s="323"/>
      <c r="K492" s="72">
        <v>6946200000</v>
      </c>
      <c r="L492" s="379"/>
      <c r="Y492" s="615"/>
      <c r="Z492" s="615"/>
      <c r="AA492" s="615"/>
    </row>
    <row r="493" spans="1:27" s="188" customFormat="1" ht="15.75" customHeight="1" hidden="1">
      <c r="A493" s="223"/>
      <c r="B493" s="191" t="s">
        <v>735</v>
      </c>
      <c r="C493" s="232"/>
      <c r="D493" s="232"/>
      <c r="E493" s="232"/>
      <c r="F493" s="232"/>
      <c r="G493" s="232"/>
      <c r="H493" s="232"/>
      <c r="I493" s="258"/>
      <c r="J493" s="258"/>
      <c r="K493" s="258"/>
      <c r="Y493" s="466"/>
      <c r="Z493" s="466"/>
      <c r="AA493" s="466"/>
    </row>
    <row r="494" spans="1:27" s="189" customFormat="1" ht="21" customHeight="1" thickBot="1">
      <c r="A494" s="223"/>
      <c r="B494" s="186"/>
      <c r="C494" s="186" t="s">
        <v>150</v>
      </c>
      <c r="D494" s="232"/>
      <c r="E494" s="232"/>
      <c r="F494" s="232"/>
      <c r="G494" s="232"/>
      <c r="H494" s="232"/>
      <c r="I494" s="254">
        <f>I486+I490+I492</f>
        <v>55476234931</v>
      </c>
      <c r="J494" s="72"/>
      <c r="K494" s="254">
        <f>K486+K490+K492</f>
        <v>49631196338</v>
      </c>
      <c r="L494" s="257">
        <f>I494-'[1]CDKT '!I77</f>
        <v>-2306074989</v>
      </c>
      <c r="M494" s="257">
        <f>K494-'[1]CDKT '!K77</f>
        <v>0</v>
      </c>
      <c r="Y494" s="466"/>
      <c r="Z494" s="466"/>
      <c r="AA494" s="466"/>
    </row>
    <row r="495" spans="1:27" s="189" customFormat="1" ht="21" customHeight="1" thickTop="1">
      <c r="A495" s="223"/>
      <c r="B495" s="186" t="s">
        <v>736</v>
      </c>
      <c r="C495" s="397"/>
      <c r="D495" s="397"/>
      <c r="E495" s="397"/>
      <c r="F495" s="397"/>
      <c r="G495" s="397"/>
      <c r="H495" s="291"/>
      <c r="I495" s="289"/>
      <c r="J495" s="289"/>
      <c r="K495" s="289"/>
      <c r="L495" s="257"/>
      <c r="M495" s="257"/>
      <c r="Y495" s="466"/>
      <c r="Z495" s="466"/>
      <c r="AA495" s="466"/>
    </row>
    <row r="496" spans="1:27" s="189" customFormat="1" ht="33.75" customHeight="1">
      <c r="A496" s="223"/>
      <c r="B496" s="398"/>
      <c r="C496" s="399" t="s">
        <v>737</v>
      </c>
      <c r="D496" s="399"/>
      <c r="E496" s="400" t="s">
        <v>738</v>
      </c>
      <c r="F496" s="401"/>
      <c r="G496" s="400" t="s">
        <v>739</v>
      </c>
      <c r="H496" s="402"/>
      <c r="I496" s="400" t="s">
        <v>740</v>
      </c>
      <c r="J496" s="402"/>
      <c r="K496" s="400" t="s">
        <v>741</v>
      </c>
      <c r="L496" s="257"/>
      <c r="M496" s="257"/>
      <c r="Y496" s="466"/>
      <c r="Z496" s="466"/>
      <c r="AA496" s="466"/>
    </row>
    <row r="497" spans="1:27" s="189" customFormat="1" ht="27.75" customHeight="1">
      <c r="A497" s="223"/>
      <c r="B497" s="226" t="s">
        <v>666</v>
      </c>
      <c r="C497" s="398" t="s">
        <v>742</v>
      </c>
      <c r="D497" s="398"/>
      <c r="E497" s="403" t="s">
        <v>743</v>
      </c>
      <c r="F497" s="398"/>
      <c r="G497" s="404" t="s">
        <v>744</v>
      </c>
      <c r="H497" s="398"/>
      <c r="I497" s="405" t="s">
        <v>745</v>
      </c>
      <c r="J497" s="398"/>
      <c r="K497" s="406" t="s">
        <v>746</v>
      </c>
      <c r="L497" s="257"/>
      <c r="M497" s="257"/>
      <c r="Y497" s="466"/>
      <c r="Z497" s="466"/>
      <c r="AA497" s="466"/>
    </row>
    <row r="498" spans="1:27" s="189" customFormat="1" ht="18" customHeight="1" thickBot="1">
      <c r="A498" s="223"/>
      <c r="B498" s="226" t="s">
        <v>668</v>
      </c>
      <c r="C498" s="398" t="s">
        <v>747</v>
      </c>
      <c r="D498" s="398"/>
      <c r="E498" s="407" t="s">
        <v>748</v>
      </c>
      <c r="F498" s="408"/>
      <c r="G498" s="409" t="s">
        <v>744</v>
      </c>
      <c r="H498" s="408"/>
      <c r="I498" s="410" t="s">
        <v>749</v>
      </c>
      <c r="J498" s="408"/>
      <c r="K498" s="411" t="s">
        <v>157</v>
      </c>
      <c r="L498" s="257"/>
      <c r="M498" s="257"/>
      <c r="Y498" s="466"/>
      <c r="Z498" s="466"/>
      <c r="AA498" s="466"/>
    </row>
    <row r="499" spans="1:27" s="189" customFormat="1" ht="30" customHeight="1" thickTop="1">
      <c r="A499" s="281" t="s">
        <v>463</v>
      </c>
      <c r="B499" s="186" t="s">
        <v>750</v>
      </c>
      <c r="C499" s="191"/>
      <c r="D499" s="191"/>
      <c r="E499" s="191"/>
      <c r="F499" s="191"/>
      <c r="G499" s="191"/>
      <c r="H499" s="191"/>
      <c r="I499" s="248" t="s">
        <v>1055</v>
      </c>
      <c r="J499" s="248"/>
      <c r="K499" s="248" t="str">
        <f>'[1]TTC'!D13</f>
        <v>01/01/2012</v>
      </c>
      <c r="L499" s="188"/>
      <c r="Y499" s="466"/>
      <c r="Z499" s="466"/>
      <c r="AA499" s="466"/>
    </row>
    <row r="500" spans="1:27" s="238" customFormat="1" ht="15.75" customHeight="1">
      <c r="A500" s="185"/>
      <c r="B500" s="191" t="s">
        <v>751</v>
      </c>
      <c r="C500" s="186"/>
      <c r="D500" s="186"/>
      <c r="E500" s="186"/>
      <c r="F500" s="186"/>
      <c r="G500" s="186"/>
      <c r="H500" s="186"/>
      <c r="I500" s="588">
        <v>767738374</v>
      </c>
      <c r="J500" s="270"/>
      <c r="K500" s="184">
        <f>3168973091+604649753</f>
        <v>3773622844</v>
      </c>
      <c r="L500" s="251">
        <f>3335.84*20828</f>
        <v>69478875.52</v>
      </c>
      <c r="Y500" s="674"/>
      <c r="Z500" s="674"/>
      <c r="AA500" s="674"/>
    </row>
    <row r="501" spans="1:27" s="238" customFormat="1" ht="15.75" customHeight="1" hidden="1">
      <c r="A501" s="185"/>
      <c r="B501" s="191" t="s">
        <v>752</v>
      </c>
      <c r="C501" s="186"/>
      <c r="D501" s="186"/>
      <c r="E501" s="186"/>
      <c r="F501" s="186"/>
      <c r="G501" s="186"/>
      <c r="H501" s="186"/>
      <c r="I501" s="184"/>
      <c r="J501" s="270"/>
      <c r="K501" s="184"/>
      <c r="L501" s="412"/>
      <c r="Y501" s="674"/>
      <c r="Z501" s="674"/>
      <c r="AA501" s="674"/>
    </row>
    <row r="502" spans="1:27" s="238" customFormat="1" ht="15.75" customHeight="1">
      <c r="A502" s="185"/>
      <c r="B502" s="191" t="s">
        <v>753</v>
      </c>
      <c r="C502" s="186"/>
      <c r="D502" s="186"/>
      <c r="E502" s="186"/>
      <c r="F502" s="186"/>
      <c r="G502" s="186"/>
      <c r="H502" s="186"/>
      <c r="I502" s="588">
        <v>3663468958</v>
      </c>
      <c r="J502" s="270"/>
      <c r="K502" s="184">
        <v>3342097237</v>
      </c>
      <c r="L502" s="413">
        <f>I502-K502</f>
        <v>321371721</v>
      </c>
      <c r="M502" s="414" t="s">
        <v>613</v>
      </c>
      <c r="N502" s="271"/>
      <c r="Y502" s="674"/>
      <c r="Z502" s="674"/>
      <c r="AA502" s="674"/>
    </row>
    <row r="503" spans="1:27" s="238" customFormat="1" ht="15.75" customHeight="1">
      <c r="A503" s="185"/>
      <c r="B503" s="191" t="s">
        <v>27</v>
      </c>
      <c r="C503" s="186"/>
      <c r="D503" s="186"/>
      <c r="E503" s="186"/>
      <c r="F503" s="186"/>
      <c r="G503" s="186"/>
      <c r="H503" s="186"/>
      <c r="I503" s="588">
        <v>285888352</v>
      </c>
      <c r="J503" s="270"/>
      <c r="K503" s="184">
        <v>1268555826</v>
      </c>
      <c r="L503" s="412"/>
      <c r="Y503" s="674"/>
      <c r="Z503" s="674"/>
      <c r="AA503" s="674"/>
    </row>
    <row r="504" spans="1:27" s="238" customFormat="1" ht="15.75" customHeight="1">
      <c r="A504" s="185"/>
      <c r="B504" s="191" t="s">
        <v>161</v>
      </c>
      <c r="C504" s="186"/>
      <c r="D504" s="186"/>
      <c r="E504" s="186"/>
      <c r="F504" s="186"/>
      <c r="G504" s="186"/>
      <c r="H504" s="186"/>
      <c r="I504" s="588">
        <v>10750656178.89</v>
      </c>
      <c r="J504" s="270"/>
      <c r="K504" s="184">
        <f>7649214076+106570211</f>
        <v>7755784287</v>
      </c>
      <c r="L504" s="251">
        <f>(4294.81+962.55)*20828</f>
        <v>109500294.08000001</v>
      </c>
      <c r="Y504" s="674"/>
      <c r="Z504" s="674"/>
      <c r="AA504" s="674"/>
    </row>
    <row r="505" spans="1:27" s="238" customFormat="1" ht="15.75" customHeight="1" hidden="1">
      <c r="A505" s="185"/>
      <c r="B505" s="191" t="s">
        <v>754</v>
      </c>
      <c r="C505" s="186"/>
      <c r="D505" s="186"/>
      <c r="E505" s="186"/>
      <c r="F505" s="186"/>
      <c r="G505" s="186"/>
      <c r="H505" s="186"/>
      <c r="I505" s="72"/>
      <c r="J505" s="255"/>
      <c r="K505" s="72"/>
      <c r="Y505" s="674"/>
      <c r="Z505" s="674"/>
      <c r="AA505" s="674"/>
    </row>
    <row r="506" spans="1:27" s="238" customFormat="1" ht="15.75" customHeight="1" hidden="1">
      <c r="A506" s="185"/>
      <c r="B506" s="191" t="s">
        <v>755</v>
      </c>
      <c r="C506" s="186"/>
      <c r="D506" s="186"/>
      <c r="E506" s="186"/>
      <c r="F506" s="186"/>
      <c r="G506" s="186"/>
      <c r="H506" s="186"/>
      <c r="I506" s="72"/>
      <c r="J506" s="255"/>
      <c r="K506" s="72"/>
      <c r="Y506" s="674"/>
      <c r="Z506" s="674"/>
      <c r="AA506" s="674"/>
    </row>
    <row r="507" spans="1:27" s="238" customFormat="1" ht="15.75" customHeight="1" hidden="1">
      <c r="A507" s="185"/>
      <c r="B507" s="191" t="s">
        <v>756</v>
      </c>
      <c r="C507" s="186"/>
      <c r="D507" s="186"/>
      <c r="E507" s="186"/>
      <c r="F507" s="186"/>
      <c r="G507" s="186"/>
      <c r="H507" s="186"/>
      <c r="I507" s="72"/>
      <c r="J507" s="255"/>
      <c r="K507" s="72"/>
      <c r="Y507" s="674"/>
      <c r="Z507" s="674"/>
      <c r="AA507" s="674"/>
    </row>
    <row r="508" spans="1:27" s="189" customFormat="1" ht="15.75" customHeight="1" hidden="1">
      <c r="A508" s="202"/>
      <c r="B508" s="191" t="s">
        <v>757</v>
      </c>
      <c r="C508" s="191"/>
      <c r="D508" s="191"/>
      <c r="E508" s="191"/>
      <c r="F508" s="191"/>
      <c r="G508" s="191"/>
      <c r="H508" s="191"/>
      <c r="I508" s="184"/>
      <c r="J508" s="270"/>
      <c r="K508" s="184"/>
      <c r="L508" s="188"/>
      <c r="Y508" s="466"/>
      <c r="Z508" s="466"/>
      <c r="AA508" s="466"/>
    </row>
    <row r="509" spans="1:27" s="189" customFormat="1" ht="21" customHeight="1" thickBot="1">
      <c r="A509" s="223"/>
      <c r="B509" s="186"/>
      <c r="C509" s="186" t="s">
        <v>150</v>
      </c>
      <c r="D509" s="232"/>
      <c r="E509" s="232"/>
      <c r="F509" s="232"/>
      <c r="G509" s="232"/>
      <c r="H509" s="232"/>
      <c r="I509" s="254">
        <f>SUM(I500:I508)</f>
        <v>15467751862.89</v>
      </c>
      <c r="J509" s="255"/>
      <c r="K509" s="254">
        <f>SUM(K500:K508)</f>
        <v>16140060194</v>
      </c>
      <c r="L509" s="257">
        <f>I509-'[1]CDKT '!I80</f>
        <v>2146378571.8899994</v>
      </c>
      <c r="M509" s="257">
        <f>K509-'[1]CDKT '!K80</f>
        <v>0</v>
      </c>
      <c r="Y509" s="466"/>
      <c r="Z509" s="466"/>
      <c r="AA509" s="466"/>
    </row>
    <row r="510" spans="1:27" s="189" customFormat="1" ht="30" customHeight="1" hidden="1">
      <c r="A510" s="281" t="s">
        <v>525</v>
      </c>
      <c r="B510" s="186" t="s">
        <v>77</v>
      </c>
      <c r="C510" s="191"/>
      <c r="D510" s="191"/>
      <c r="E510" s="191"/>
      <c r="F510" s="191"/>
      <c r="G510" s="191"/>
      <c r="H510" s="191"/>
      <c r="I510" s="248" t="str">
        <f>'[1]TTC'!D14</f>
        <v>30/06/2012</v>
      </c>
      <c r="J510" s="248"/>
      <c r="K510" s="248" t="str">
        <f>'[1]TTC'!D13</f>
        <v>01/01/2012</v>
      </c>
      <c r="L510" s="188"/>
      <c r="Y510" s="466"/>
      <c r="Z510" s="466"/>
      <c r="AA510" s="466"/>
    </row>
    <row r="511" spans="1:27" s="189" customFormat="1" ht="15" customHeight="1" hidden="1">
      <c r="A511" s="202"/>
      <c r="B511" s="191" t="s">
        <v>758</v>
      </c>
      <c r="C511" s="191"/>
      <c r="D511" s="191"/>
      <c r="E511" s="191"/>
      <c r="F511" s="191"/>
      <c r="G511" s="191"/>
      <c r="H511" s="191"/>
      <c r="I511" s="192"/>
      <c r="J511" s="192"/>
      <c r="K511" s="192"/>
      <c r="L511" s="188"/>
      <c r="Y511" s="466"/>
      <c r="Z511" s="466"/>
      <c r="AA511" s="466"/>
    </row>
    <row r="512" spans="1:27" s="189" customFormat="1" ht="15" customHeight="1" hidden="1">
      <c r="A512" s="202"/>
      <c r="B512" s="191" t="s">
        <v>759</v>
      </c>
      <c r="C512" s="191"/>
      <c r="D512" s="191"/>
      <c r="E512" s="191"/>
      <c r="F512" s="191"/>
      <c r="G512" s="191"/>
      <c r="H512" s="191"/>
      <c r="I512" s="192"/>
      <c r="J512" s="192"/>
      <c r="K512" s="192"/>
      <c r="L512" s="188"/>
      <c r="Y512" s="466"/>
      <c r="Z512" s="466"/>
      <c r="AA512" s="466"/>
    </row>
    <row r="513" spans="1:27" s="189" customFormat="1" ht="15" customHeight="1" hidden="1">
      <c r="A513" s="202"/>
      <c r="B513" s="191" t="s">
        <v>760</v>
      </c>
      <c r="C513" s="191"/>
      <c r="D513" s="191"/>
      <c r="E513" s="191"/>
      <c r="F513" s="191"/>
      <c r="G513" s="191"/>
      <c r="H513" s="191"/>
      <c r="I513" s="192"/>
      <c r="J513" s="192"/>
      <c r="K513" s="192"/>
      <c r="L513" s="188"/>
      <c r="Y513" s="466"/>
      <c r="Z513" s="466"/>
      <c r="AA513" s="466"/>
    </row>
    <row r="514" spans="1:27" s="189" customFormat="1" ht="15" customHeight="1" hidden="1">
      <c r="A514" s="202"/>
      <c r="B514" s="191" t="s">
        <v>761</v>
      </c>
      <c r="C514" s="191"/>
      <c r="D514" s="191"/>
      <c r="E514" s="191"/>
      <c r="F514" s="191"/>
      <c r="G514" s="191"/>
      <c r="H514" s="191"/>
      <c r="I514" s="192"/>
      <c r="J514" s="192"/>
      <c r="K514" s="192"/>
      <c r="L514" s="188"/>
      <c r="Y514" s="466"/>
      <c r="Z514" s="466"/>
      <c r="AA514" s="466"/>
    </row>
    <row r="515" spans="1:27" s="189" customFormat="1" ht="21" customHeight="1" hidden="1">
      <c r="A515" s="223"/>
      <c r="B515" s="186"/>
      <c r="C515" s="186" t="s">
        <v>150</v>
      </c>
      <c r="D515" s="232"/>
      <c r="E515" s="232"/>
      <c r="F515" s="232"/>
      <c r="G515" s="232"/>
      <c r="H515" s="232"/>
      <c r="I515" s="266">
        <f>SUM(I513:I514)</f>
        <v>0</v>
      </c>
      <c r="J515" s="187"/>
      <c r="K515" s="266">
        <f>SUM(K513:K514)</f>
        <v>0</v>
      </c>
      <c r="L515" s="257">
        <f>I515-'[1]CDKT '!I95</f>
        <v>-154308142</v>
      </c>
      <c r="M515" s="257">
        <f>K515-'[1]CDKT '!K95</f>
        <v>-274863142</v>
      </c>
      <c r="Y515" s="466"/>
      <c r="Z515" s="466"/>
      <c r="AA515" s="466"/>
    </row>
    <row r="516" spans="1:27" s="189" customFormat="1" ht="30" customHeight="1" thickTop="1">
      <c r="A516" s="281" t="s">
        <v>480</v>
      </c>
      <c r="B516" s="186" t="s">
        <v>78</v>
      </c>
      <c r="C516" s="191"/>
      <c r="D516" s="191"/>
      <c r="E516" s="191"/>
      <c r="F516" s="191"/>
      <c r="G516" s="660"/>
      <c r="H516" s="191"/>
      <c r="I516" s="248" t="s">
        <v>1055</v>
      </c>
      <c r="J516" s="248"/>
      <c r="K516" s="248" t="str">
        <f>'[1]TTC'!D13</f>
        <v>01/01/2012</v>
      </c>
      <c r="L516" s="188"/>
      <c r="Y516" s="466"/>
      <c r="Z516" s="466"/>
      <c r="AA516" s="466"/>
    </row>
    <row r="517" spans="1:27" s="189" customFormat="1" ht="20.25" customHeight="1" hidden="1">
      <c r="A517" s="202"/>
      <c r="B517" s="191" t="s">
        <v>762</v>
      </c>
      <c r="C517" s="191"/>
      <c r="D517" s="191"/>
      <c r="E517" s="191"/>
      <c r="F517" s="191"/>
      <c r="G517" s="191"/>
      <c r="H517" s="191"/>
      <c r="I517" s="184"/>
      <c r="J517" s="184"/>
      <c r="K517" s="184"/>
      <c r="L517" s="188"/>
      <c r="Y517" s="466"/>
      <c r="Z517" s="466"/>
      <c r="AA517" s="466"/>
    </row>
    <row r="518" spans="1:27" s="189" customFormat="1" ht="15.75" customHeight="1" hidden="1">
      <c r="A518" s="202"/>
      <c r="B518" s="191" t="s">
        <v>763</v>
      </c>
      <c r="C518" s="191"/>
      <c r="D518" s="191"/>
      <c r="E518" s="191"/>
      <c r="F518" s="191"/>
      <c r="G518" s="191"/>
      <c r="H518" s="191"/>
      <c r="I518" s="184"/>
      <c r="J518" s="184"/>
      <c r="K518" s="184"/>
      <c r="L518" s="188"/>
      <c r="Y518" s="466"/>
      <c r="Z518" s="466"/>
      <c r="AA518" s="466"/>
    </row>
    <row r="519" spans="1:27" s="189" customFormat="1" ht="15.75" customHeight="1" hidden="1">
      <c r="A519" s="202"/>
      <c r="B519" s="191" t="s">
        <v>764</v>
      </c>
      <c r="C519" s="191"/>
      <c r="D519" s="191"/>
      <c r="E519" s="191"/>
      <c r="F519" s="191"/>
      <c r="G519" s="191"/>
      <c r="H519" s="191"/>
      <c r="I519" s="184"/>
      <c r="J519" s="184"/>
      <c r="K519" s="184"/>
      <c r="L519" s="188"/>
      <c r="N519" s="415"/>
      <c r="Y519" s="466"/>
      <c r="Z519" s="466"/>
      <c r="AA519" s="466"/>
    </row>
    <row r="520" spans="1:27" s="189" customFormat="1" ht="15.75" customHeight="1" hidden="1">
      <c r="A520" s="202"/>
      <c r="B520" s="191" t="s">
        <v>765</v>
      </c>
      <c r="C520" s="191"/>
      <c r="D520" s="191"/>
      <c r="E520" s="191"/>
      <c r="F520" s="191"/>
      <c r="G520" s="191"/>
      <c r="H520" s="191"/>
      <c r="I520" s="184"/>
      <c r="J520" s="184"/>
      <c r="K520" s="184"/>
      <c r="L520" s="188"/>
      <c r="Y520" s="466"/>
      <c r="Z520" s="466"/>
      <c r="AA520" s="466"/>
    </row>
    <row r="521" spans="1:27" s="189" customFormat="1" ht="15.75" customHeight="1" hidden="1">
      <c r="A521" s="202"/>
      <c r="B521" s="191" t="s">
        <v>766</v>
      </c>
      <c r="C521" s="191"/>
      <c r="D521" s="191"/>
      <c r="E521" s="191"/>
      <c r="F521" s="191"/>
      <c r="G521" s="191"/>
      <c r="H521" s="191"/>
      <c r="I521" s="184"/>
      <c r="J521" s="184"/>
      <c r="K521" s="184"/>
      <c r="L521" s="188"/>
      <c r="Y521" s="466"/>
      <c r="Z521" s="466"/>
      <c r="AA521" s="466"/>
    </row>
    <row r="522" spans="1:27" s="189" customFormat="1" ht="15.75" customHeight="1" hidden="1">
      <c r="A522" s="202"/>
      <c r="B522" s="191" t="s">
        <v>767</v>
      </c>
      <c r="C522" s="191"/>
      <c r="D522" s="191"/>
      <c r="E522" s="191"/>
      <c r="F522" s="191"/>
      <c r="G522" s="191"/>
      <c r="H522" s="191"/>
      <c r="I522" s="184"/>
      <c r="J522" s="184"/>
      <c r="K522" s="184"/>
      <c r="L522" s="188"/>
      <c r="Y522" s="466"/>
      <c r="Z522" s="466"/>
      <c r="AA522" s="466"/>
    </row>
    <row r="523" spans="1:27" s="189" customFormat="1" ht="15.75" customHeight="1">
      <c r="A523" s="202"/>
      <c r="B523" s="191" t="s">
        <v>768</v>
      </c>
      <c r="C523" s="191"/>
      <c r="D523" s="191"/>
      <c r="E523" s="191"/>
      <c r="F523" s="191"/>
      <c r="G523" s="191"/>
      <c r="H523" s="191"/>
      <c r="I523" s="184">
        <f>SUM(I524:I528)</f>
        <v>19087212396</v>
      </c>
      <c r="J523" s="184"/>
      <c r="K523" s="184">
        <f>SUM(K524:K528)</f>
        <v>23355206784</v>
      </c>
      <c r="L523" s="188"/>
      <c r="Y523" s="466"/>
      <c r="Z523" s="466"/>
      <c r="AA523" s="466"/>
    </row>
    <row r="524" spans="1:27" s="225" customFormat="1" ht="15.75" customHeight="1">
      <c r="A524" s="223"/>
      <c r="B524" s="232"/>
      <c r="C524" s="225" t="s">
        <v>769</v>
      </c>
      <c r="D524" s="232"/>
      <c r="E524" s="232"/>
      <c r="F524" s="232"/>
      <c r="G524" s="232"/>
      <c r="H524" s="232"/>
      <c r="I524" s="258">
        <v>19087212396</v>
      </c>
      <c r="J524" s="258"/>
      <c r="K524" s="258">
        <v>19989178415</v>
      </c>
      <c r="L524" s="224"/>
      <c r="Y524" s="672"/>
      <c r="Z524" s="672"/>
      <c r="AA524" s="672"/>
    </row>
    <row r="525" spans="1:27" s="225" customFormat="1" ht="15.75" customHeight="1" hidden="1">
      <c r="A525" s="223"/>
      <c r="B525" s="232"/>
      <c r="C525" s="225" t="s">
        <v>770</v>
      </c>
      <c r="D525" s="232"/>
      <c r="E525" s="232"/>
      <c r="F525" s="232"/>
      <c r="G525" s="232"/>
      <c r="H525" s="232"/>
      <c r="I525" s="258"/>
      <c r="J525" s="258"/>
      <c r="K525" s="258"/>
      <c r="L525" s="224"/>
      <c r="Y525" s="672"/>
      <c r="Z525" s="672"/>
      <c r="AA525" s="672"/>
    </row>
    <row r="526" spans="1:27" s="225" customFormat="1" ht="15.75" customHeight="1">
      <c r="A526" s="223"/>
      <c r="B526" s="232"/>
      <c r="C526" s="225" t="s">
        <v>771</v>
      </c>
      <c r="D526" s="232"/>
      <c r="E526" s="232"/>
      <c r="F526" s="232"/>
      <c r="G526" s="232"/>
      <c r="H526" s="232"/>
      <c r="I526" s="416">
        <v>0</v>
      </c>
      <c r="J526" s="258"/>
      <c r="K526" s="416">
        <f>1101738717-22640000-289795543-360601220-187792578-52887631-46213842-1240000+500000000-303848191+1663280288</f>
        <v>2000000000</v>
      </c>
      <c r="L526" s="224"/>
      <c r="Y526" s="672"/>
      <c r="Z526" s="672"/>
      <c r="AA526" s="672"/>
    </row>
    <row r="527" spans="1:27" s="225" customFormat="1" ht="15.75" customHeight="1">
      <c r="A527" s="223"/>
      <c r="B527" s="232"/>
      <c r="C527" s="225" t="s">
        <v>772</v>
      </c>
      <c r="D527" s="232"/>
      <c r="E527" s="232"/>
      <c r="F527" s="232"/>
      <c r="G527" s="232"/>
      <c r="H527" s="232"/>
      <c r="I527" s="258">
        <v>0</v>
      </c>
      <c r="J527" s="258"/>
      <c r="K527" s="258">
        <v>1123757073</v>
      </c>
      <c r="L527" s="224"/>
      <c r="Y527" s="672"/>
      <c r="Z527" s="672"/>
      <c r="AA527" s="672"/>
    </row>
    <row r="528" spans="1:27" s="225" customFormat="1" ht="15.75" customHeight="1">
      <c r="A528" s="223"/>
      <c r="B528" s="232"/>
      <c r="C528" s="225" t="s">
        <v>773</v>
      </c>
      <c r="D528" s="232"/>
      <c r="E528" s="232"/>
      <c r="F528" s="232"/>
      <c r="G528" s="232"/>
      <c r="H528" s="232"/>
      <c r="I528" s="258"/>
      <c r="J528" s="258"/>
      <c r="K528" s="258">
        <v>242271296</v>
      </c>
      <c r="L528" s="251">
        <f>14130.09*20828</f>
        <v>294301514.52</v>
      </c>
      <c r="Y528" s="672"/>
      <c r="Z528" s="672"/>
      <c r="AA528" s="672"/>
    </row>
    <row r="529" spans="1:27" s="189" customFormat="1" ht="21" customHeight="1" thickBot="1">
      <c r="A529" s="223"/>
      <c r="B529" s="186"/>
      <c r="C529" s="186" t="s">
        <v>150</v>
      </c>
      <c r="D529" s="232"/>
      <c r="E529" s="232"/>
      <c r="F529" s="232"/>
      <c r="G529" s="232"/>
      <c r="H529" s="232"/>
      <c r="I529" s="254">
        <f>SUM(I522:I523)</f>
        <v>19087212396</v>
      </c>
      <c r="J529" s="72"/>
      <c r="K529" s="254">
        <f>SUM(K517:K523)</f>
        <v>23355206784</v>
      </c>
      <c r="L529" s="257">
        <f>I529-'[1]CDKT '!I85</f>
        <v>4563552472</v>
      </c>
      <c r="M529" s="257">
        <f>K529-'[1]CDKT '!K85</f>
        <v>0</v>
      </c>
      <c r="Y529" s="466"/>
      <c r="Z529" s="466"/>
      <c r="AA529" s="466"/>
    </row>
    <row r="530" spans="1:27" s="189" customFormat="1" ht="30" customHeight="1" hidden="1">
      <c r="A530" s="281" t="s">
        <v>560</v>
      </c>
      <c r="B530" s="186" t="s">
        <v>774</v>
      </c>
      <c r="C530" s="191"/>
      <c r="D530" s="191"/>
      <c r="E530" s="191"/>
      <c r="F530" s="191"/>
      <c r="G530" s="191"/>
      <c r="H530" s="191"/>
      <c r="I530" s="248" t="str">
        <f>'[1]TTC'!D14</f>
        <v>30/06/2012</v>
      </c>
      <c r="J530" s="248"/>
      <c r="K530" s="248" t="str">
        <f>'[1]TTC'!D13</f>
        <v>01/01/2012</v>
      </c>
      <c r="L530" s="188"/>
      <c r="Y530" s="466"/>
      <c r="Z530" s="466"/>
      <c r="AA530" s="466"/>
    </row>
    <row r="531" spans="1:27" s="189" customFormat="1" ht="15.75" customHeight="1" hidden="1">
      <c r="A531" s="202"/>
      <c r="B531" s="191" t="s">
        <v>775</v>
      </c>
      <c r="C531" s="191"/>
      <c r="D531" s="186"/>
      <c r="E531" s="186"/>
      <c r="F531" s="186"/>
      <c r="G531" s="186"/>
      <c r="H531" s="191"/>
      <c r="I531" s="192"/>
      <c r="J531" s="192"/>
      <c r="K531" s="192"/>
      <c r="L531" s="188"/>
      <c r="Y531" s="466"/>
      <c r="Z531" s="466"/>
      <c r="AA531" s="466"/>
    </row>
    <row r="532" spans="1:27" s="189" customFormat="1" ht="15.75" customHeight="1" hidden="1">
      <c r="A532" s="202"/>
      <c r="B532" s="191" t="s">
        <v>776</v>
      </c>
      <c r="C532" s="191"/>
      <c r="D532" s="186"/>
      <c r="E532" s="186"/>
      <c r="F532" s="186"/>
      <c r="G532" s="186"/>
      <c r="H532" s="191"/>
      <c r="I532" s="192"/>
      <c r="J532" s="192"/>
      <c r="K532" s="192"/>
      <c r="L532" s="188"/>
      <c r="Y532" s="466"/>
      <c r="Z532" s="466"/>
      <c r="AA532" s="466"/>
    </row>
    <row r="533" spans="1:27" s="189" customFormat="1" ht="15.75" customHeight="1" hidden="1">
      <c r="A533" s="185"/>
      <c r="B533" s="191" t="s">
        <v>777</v>
      </c>
      <c r="C533" s="186"/>
      <c r="D533" s="186"/>
      <c r="E533" s="186"/>
      <c r="F533" s="186"/>
      <c r="G533" s="186"/>
      <c r="H533" s="191"/>
      <c r="I533" s="187"/>
      <c r="J533" s="187"/>
      <c r="K533" s="187"/>
      <c r="L533" s="188"/>
      <c r="Y533" s="466"/>
      <c r="Z533" s="466"/>
      <c r="AA533" s="466"/>
    </row>
    <row r="534" spans="1:27" s="189" customFormat="1" ht="21" customHeight="1" hidden="1">
      <c r="A534" s="223"/>
      <c r="B534" s="186"/>
      <c r="C534" s="186" t="s">
        <v>150</v>
      </c>
      <c r="D534" s="232"/>
      <c r="E534" s="232"/>
      <c r="F534" s="232"/>
      <c r="G534" s="232"/>
      <c r="H534" s="232"/>
      <c r="I534" s="266">
        <f>SUM(I531:I533)</f>
        <v>0</v>
      </c>
      <c r="J534" s="187"/>
      <c r="K534" s="266">
        <f>SUM(K531:K533)</f>
        <v>0</v>
      </c>
      <c r="L534" s="257" t="e">
        <f>I534-'[1]CDKT '!I108</f>
        <v>#REF!</v>
      </c>
      <c r="M534" s="257" t="e">
        <f>K534-'[1]CDKT '!K108</f>
        <v>#REF!</v>
      </c>
      <c r="Y534" s="466"/>
      <c r="Z534" s="466"/>
      <c r="AA534" s="466"/>
    </row>
    <row r="535" spans="1:27" s="189" customFormat="1" ht="30" customHeight="1" hidden="1">
      <c r="A535" s="281" t="s">
        <v>778</v>
      </c>
      <c r="B535" s="186" t="s">
        <v>779</v>
      </c>
      <c r="C535" s="191"/>
      <c r="D535" s="191"/>
      <c r="E535" s="191"/>
      <c r="F535" s="191"/>
      <c r="G535" s="191"/>
      <c r="H535" s="191"/>
      <c r="I535" s="248" t="str">
        <f>'[1]TTC'!D14</f>
        <v>30/06/2012</v>
      </c>
      <c r="J535" s="248"/>
      <c r="K535" s="248" t="str">
        <f>'[1]TTC'!D13</f>
        <v>01/01/2012</v>
      </c>
      <c r="L535" s="188"/>
      <c r="Y535" s="466"/>
      <c r="Z535" s="466"/>
      <c r="AA535" s="466"/>
    </row>
    <row r="536" spans="1:27" s="189" customFormat="1" ht="15.75" customHeight="1" hidden="1">
      <c r="A536" s="223"/>
      <c r="B536" s="186" t="s">
        <v>780</v>
      </c>
      <c r="C536" s="186"/>
      <c r="D536" s="232"/>
      <c r="E536" s="232"/>
      <c r="F536" s="232"/>
      <c r="G536" s="232"/>
      <c r="H536" s="232"/>
      <c r="I536" s="187">
        <f>I537+I540+I541</f>
        <v>0</v>
      </c>
      <c r="J536" s="187"/>
      <c r="K536" s="187">
        <f>K537+K540+K541</f>
        <v>0</v>
      </c>
      <c r="L536" s="257"/>
      <c r="M536" s="257"/>
      <c r="Y536" s="466"/>
      <c r="Z536" s="466"/>
      <c r="AA536" s="466"/>
    </row>
    <row r="537" spans="1:27" s="189" customFormat="1" ht="15.75" customHeight="1" hidden="1">
      <c r="A537" s="223"/>
      <c r="B537" s="186"/>
      <c r="C537" s="191" t="s">
        <v>781</v>
      </c>
      <c r="D537" s="232"/>
      <c r="E537" s="232"/>
      <c r="F537" s="232"/>
      <c r="G537" s="232"/>
      <c r="H537" s="232"/>
      <c r="I537" s="192">
        <v>0</v>
      </c>
      <c r="J537" s="187"/>
      <c r="K537" s="192">
        <f>SUM(K538:K539)</f>
        <v>0</v>
      </c>
      <c r="L537" s="257"/>
      <c r="M537" s="257"/>
      <c r="Y537" s="466"/>
      <c r="Z537" s="466"/>
      <c r="AA537" s="466"/>
    </row>
    <row r="538" spans="1:27" s="224" customFormat="1" ht="15.75" customHeight="1" hidden="1">
      <c r="A538" s="223"/>
      <c r="B538" s="195"/>
      <c r="C538" s="388" t="s">
        <v>782</v>
      </c>
      <c r="D538" s="232"/>
      <c r="E538" s="232"/>
      <c r="F538" s="232"/>
      <c r="G538" s="232"/>
      <c r="H538" s="232"/>
      <c r="I538" s="237"/>
      <c r="J538" s="237"/>
      <c r="K538" s="237"/>
      <c r="L538" s="342"/>
      <c r="M538" s="342"/>
      <c r="Y538" s="672"/>
      <c r="Z538" s="672"/>
      <c r="AA538" s="672"/>
    </row>
    <row r="539" spans="1:27" s="224" customFormat="1" ht="15.75" customHeight="1" hidden="1">
      <c r="A539" s="223"/>
      <c r="B539" s="195"/>
      <c r="C539" s="388" t="s">
        <v>783</v>
      </c>
      <c r="D539" s="232"/>
      <c r="E539" s="232"/>
      <c r="F539" s="232"/>
      <c r="G539" s="232"/>
      <c r="H539" s="232"/>
      <c r="I539" s="237"/>
      <c r="J539" s="237"/>
      <c r="K539" s="237"/>
      <c r="L539" s="342"/>
      <c r="M539" s="342"/>
      <c r="Y539" s="672"/>
      <c r="Z539" s="672"/>
      <c r="AA539" s="672"/>
    </row>
    <row r="540" spans="1:27" s="189" customFormat="1" ht="15.75" customHeight="1" hidden="1">
      <c r="A540" s="223"/>
      <c r="B540" s="186"/>
      <c r="C540" s="191" t="s">
        <v>784</v>
      </c>
      <c r="D540" s="232"/>
      <c r="E540" s="232"/>
      <c r="F540" s="232"/>
      <c r="G540" s="232"/>
      <c r="H540" s="232"/>
      <c r="I540" s="187"/>
      <c r="J540" s="187"/>
      <c r="K540" s="187"/>
      <c r="L540" s="257"/>
      <c r="M540" s="257"/>
      <c r="Y540" s="466"/>
      <c r="Z540" s="466"/>
      <c r="AA540" s="466"/>
    </row>
    <row r="541" spans="1:27" s="189" customFormat="1" ht="15.75" customHeight="1" hidden="1">
      <c r="A541" s="223"/>
      <c r="B541" s="186"/>
      <c r="C541" s="191" t="s">
        <v>785</v>
      </c>
      <c r="D541" s="232"/>
      <c r="E541" s="232"/>
      <c r="F541" s="232"/>
      <c r="G541" s="232"/>
      <c r="H541" s="232"/>
      <c r="I541" s="187"/>
      <c r="J541" s="187"/>
      <c r="K541" s="187"/>
      <c r="L541" s="257"/>
      <c r="M541" s="257"/>
      <c r="Y541" s="466"/>
      <c r="Z541" s="466"/>
      <c r="AA541" s="466"/>
    </row>
    <row r="542" spans="1:27" s="189" customFormat="1" ht="15.75" customHeight="1" hidden="1">
      <c r="A542" s="223"/>
      <c r="B542" s="186" t="s">
        <v>80</v>
      </c>
      <c r="C542" s="186"/>
      <c r="D542" s="232"/>
      <c r="E542" s="232"/>
      <c r="F542" s="232"/>
      <c r="G542" s="232"/>
      <c r="H542" s="232"/>
      <c r="I542" s="187">
        <f>I543+I544</f>
        <v>0</v>
      </c>
      <c r="J542" s="187"/>
      <c r="K542" s="187">
        <f>K543+K544</f>
        <v>0</v>
      </c>
      <c r="L542" s="257"/>
      <c r="M542" s="257"/>
      <c r="Y542" s="466"/>
      <c r="Z542" s="466"/>
      <c r="AA542" s="466"/>
    </row>
    <row r="543" spans="1:27" s="189" customFormat="1" ht="15.75" customHeight="1" hidden="1">
      <c r="A543" s="223"/>
      <c r="B543" s="186"/>
      <c r="C543" s="191" t="s">
        <v>786</v>
      </c>
      <c r="D543" s="232"/>
      <c r="E543" s="232"/>
      <c r="F543" s="232"/>
      <c r="G543" s="232"/>
      <c r="H543" s="232"/>
      <c r="I543" s="187"/>
      <c r="J543" s="187"/>
      <c r="K543" s="187"/>
      <c r="L543" s="257"/>
      <c r="M543" s="257"/>
      <c r="Y543" s="466"/>
      <c r="Z543" s="466"/>
      <c r="AA543" s="466"/>
    </row>
    <row r="544" spans="1:27" s="189" customFormat="1" ht="15.75" customHeight="1" hidden="1">
      <c r="A544" s="223"/>
      <c r="B544" s="186"/>
      <c r="C544" s="191" t="s">
        <v>787</v>
      </c>
      <c r="D544" s="232"/>
      <c r="E544" s="232"/>
      <c r="F544" s="232"/>
      <c r="G544" s="232"/>
      <c r="H544" s="232"/>
      <c r="I544" s="187"/>
      <c r="J544" s="187"/>
      <c r="K544" s="187"/>
      <c r="L544" s="257"/>
      <c r="M544" s="257"/>
      <c r="Y544" s="466"/>
      <c r="Z544" s="466"/>
      <c r="AA544" s="466"/>
    </row>
    <row r="545" spans="1:27" s="189" customFormat="1" ht="21" customHeight="1" hidden="1">
      <c r="A545" s="223"/>
      <c r="B545" s="186"/>
      <c r="C545" s="186" t="s">
        <v>150</v>
      </c>
      <c r="D545" s="232"/>
      <c r="E545" s="232"/>
      <c r="F545" s="232"/>
      <c r="G545" s="232"/>
      <c r="H545" s="232"/>
      <c r="I545" s="266">
        <f>I542+I536</f>
        <v>0</v>
      </c>
      <c r="J545" s="187"/>
      <c r="K545" s="266">
        <f>K542+K536</f>
        <v>0</v>
      </c>
      <c r="L545" s="257">
        <f>I545-'[1]CDKT '!I93</f>
        <v>0</v>
      </c>
      <c r="M545" s="257">
        <f>K545-'[1]CDKT '!K93</f>
        <v>0</v>
      </c>
      <c r="Y545" s="466"/>
      <c r="Z545" s="466"/>
      <c r="AA545" s="466"/>
    </row>
    <row r="546" spans="1:27" s="189" customFormat="1" ht="30" customHeight="1" hidden="1">
      <c r="A546" s="202"/>
      <c r="B546" s="186" t="s">
        <v>736</v>
      </c>
      <c r="C546" s="397"/>
      <c r="D546" s="397"/>
      <c r="E546" s="397"/>
      <c r="F546" s="397"/>
      <c r="G546" s="397"/>
      <c r="H546" s="291"/>
      <c r="I546" s="289"/>
      <c r="J546" s="289"/>
      <c r="K546" s="289"/>
      <c r="L546" s="188"/>
      <c r="Y546" s="466"/>
      <c r="Z546" s="466"/>
      <c r="AA546" s="466"/>
    </row>
    <row r="547" spans="1:27" s="189" customFormat="1" ht="15.75" customHeight="1" hidden="1">
      <c r="A547" s="202"/>
      <c r="B547" s="358" t="s">
        <v>788</v>
      </c>
      <c r="C547" s="417"/>
      <c r="D547" s="398"/>
      <c r="E547" s="398"/>
      <c r="F547" s="398"/>
      <c r="G547" s="398"/>
      <c r="H547" s="398"/>
      <c r="I547" s="398"/>
      <c r="J547" s="398"/>
      <c r="K547" s="398"/>
      <c r="L547" s="188"/>
      <c r="Y547" s="466"/>
      <c r="Z547" s="466"/>
      <c r="AA547" s="466"/>
    </row>
    <row r="548" spans="1:27" s="189" customFormat="1" ht="15.75" customHeight="1" hidden="1">
      <c r="A548" s="202"/>
      <c r="B548" s="398"/>
      <c r="C548" s="399" t="s">
        <v>737</v>
      </c>
      <c r="D548" s="399"/>
      <c r="E548" s="400" t="s">
        <v>738</v>
      </c>
      <c r="F548" s="401"/>
      <c r="G548" s="400" t="s">
        <v>789</v>
      </c>
      <c r="H548" s="402"/>
      <c r="I548" s="400" t="s">
        <v>740</v>
      </c>
      <c r="J548" s="402"/>
      <c r="K548" s="400" t="s">
        <v>790</v>
      </c>
      <c r="L548" s="188"/>
      <c r="Y548" s="466"/>
      <c r="Z548" s="466"/>
      <c r="AA548" s="466"/>
    </row>
    <row r="549" spans="1:27" s="189" customFormat="1" ht="15.75" customHeight="1" hidden="1">
      <c r="A549" s="202"/>
      <c r="B549" s="398"/>
      <c r="C549" s="398"/>
      <c r="D549" s="398"/>
      <c r="E549" s="398"/>
      <c r="F549" s="398"/>
      <c r="G549" s="398"/>
      <c r="H549" s="398"/>
      <c r="I549" s="398"/>
      <c r="J549" s="398"/>
      <c r="K549" s="398"/>
      <c r="L549" s="188"/>
      <c r="Y549" s="466"/>
      <c r="Z549" s="466"/>
      <c r="AA549" s="466"/>
    </row>
    <row r="550" spans="1:27" s="189" customFormat="1" ht="15.75" customHeight="1" hidden="1">
      <c r="A550" s="202"/>
      <c r="B550" s="398"/>
      <c r="C550" s="398"/>
      <c r="D550" s="408"/>
      <c r="E550" s="408"/>
      <c r="F550" s="408"/>
      <c r="G550" s="408"/>
      <c r="H550" s="408"/>
      <c r="I550" s="408"/>
      <c r="J550" s="408"/>
      <c r="K550" s="408"/>
      <c r="L550" s="188"/>
      <c r="Y550" s="466"/>
      <c r="Z550" s="466"/>
      <c r="AA550" s="466"/>
    </row>
    <row r="551" spans="1:27" s="189" customFormat="1" ht="30" customHeight="1" hidden="1">
      <c r="A551" s="202"/>
      <c r="B551" s="186" t="s">
        <v>791</v>
      </c>
      <c r="C551" s="397"/>
      <c r="D551" s="397"/>
      <c r="E551" s="397"/>
      <c r="F551" s="397"/>
      <c r="G551" s="397"/>
      <c r="H551" s="291"/>
      <c r="I551" s="289"/>
      <c r="J551" s="289"/>
      <c r="K551" s="289"/>
      <c r="L551" s="188"/>
      <c r="Y551" s="466"/>
      <c r="Z551" s="466"/>
      <c r="AA551" s="466"/>
    </row>
    <row r="552" spans="1:27" s="189" customFormat="1" ht="15.75" customHeight="1" hidden="1">
      <c r="A552" s="202"/>
      <c r="B552" s="358" t="s">
        <v>788</v>
      </c>
      <c r="C552" s="417"/>
      <c r="D552" s="398"/>
      <c r="E552" s="398"/>
      <c r="F552" s="398"/>
      <c r="G552" s="398"/>
      <c r="H552" s="398"/>
      <c r="I552" s="398"/>
      <c r="J552" s="398"/>
      <c r="K552" s="398"/>
      <c r="L552" s="188"/>
      <c r="Y552" s="466"/>
      <c r="Z552" s="466"/>
      <c r="AA552" s="466"/>
    </row>
    <row r="553" spans="1:27" s="189" customFormat="1" ht="15.75" customHeight="1" hidden="1">
      <c r="A553" s="202"/>
      <c r="B553" s="398"/>
      <c r="C553" s="399" t="s">
        <v>737</v>
      </c>
      <c r="D553" s="399"/>
      <c r="E553" s="400" t="s">
        <v>792</v>
      </c>
      <c r="F553" s="401"/>
      <c r="G553" s="400" t="s">
        <v>789</v>
      </c>
      <c r="H553" s="402"/>
      <c r="I553" s="400" t="s">
        <v>740</v>
      </c>
      <c r="J553" s="402"/>
      <c r="K553" s="400" t="s">
        <v>793</v>
      </c>
      <c r="L553" s="188"/>
      <c r="Y553" s="466"/>
      <c r="Z553" s="466"/>
      <c r="AA553" s="466"/>
    </row>
    <row r="554" spans="1:27" s="189" customFormat="1" ht="15.75" customHeight="1" hidden="1">
      <c r="A554" s="202"/>
      <c r="B554" s="398"/>
      <c r="C554" s="398"/>
      <c r="D554" s="398"/>
      <c r="E554" s="398"/>
      <c r="F554" s="398"/>
      <c r="G554" s="398"/>
      <c r="H554" s="398"/>
      <c r="I554" s="398"/>
      <c r="J554" s="398"/>
      <c r="K554" s="398"/>
      <c r="L554" s="188"/>
      <c r="Y554" s="466"/>
      <c r="Z554" s="466"/>
      <c r="AA554" s="466"/>
    </row>
    <row r="555" spans="1:27" s="189" customFormat="1" ht="15.75" customHeight="1" hidden="1">
      <c r="A555" s="202"/>
      <c r="B555" s="398"/>
      <c r="C555" s="398"/>
      <c r="D555" s="408"/>
      <c r="E555" s="408"/>
      <c r="F555" s="408"/>
      <c r="G555" s="408"/>
      <c r="H555" s="408"/>
      <c r="I555" s="408"/>
      <c r="J555" s="408"/>
      <c r="K555" s="408"/>
      <c r="L555" s="188"/>
      <c r="Y555" s="466"/>
      <c r="Z555" s="466"/>
      <c r="AA555" s="466"/>
    </row>
    <row r="556" spans="1:27" s="189" customFormat="1" ht="42.75" customHeight="1" hidden="1">
      <c r="A556" s="202"/>
      <c r="B556" s="785" t="s">
        <v>794</v>
      </c>
      <c r="C556" s="785"/>
      <c r="D556" s="785"/>
      <c r="E556" s="785"/>
      <c r="F556" s="785"/>
      <c r="G556" s="785"/>
      <c r="H556" s="785"/>
      <c r="I556" s="785"/>
      <c r="J556" s="785"/>
      <c r="K556" s="785"/>
      <c r="L556" s="188"/>
      <c r="Y556" s="466"/>
      <c r="Z556" s="466"/>
      <c r="AA556" s="466"/>
    </row>
    <row r="557" spans="1:27" s="189" customFormat="1" ht="19.5" customHeight="1" hidden="1">
      <c r="A557" s="202"/>
      <c r="B557" s="186" t="s">
        <v>739</v>
      </c>
      <c r="C557" s="418"/>
      <c r="D557" s="186"/>
      <c r="E557" s="419" t="s">
        <v>795</v>
      </c>
      <c r="F557" s="419"/>
      <c r="G557" s="419"/>
      <c r="H557" s="240"/>
      <c r="I557" s="259" t="s">
        <v>796</v>
      </c>
      <c r="J557" s="259"/>
      <c r="K557" s="259"/>
      <c r="L557" s="188"/>
      <c r="Y557" s="466"/>
      <c r="Z557" s="466"/>
      <c r="AA557" s="466"/>
    </row>
    <row r="558" spans="1:27" s="189" customFormat="1" ht="19.5" customHeight="1" hidden="1">
      <c r="A558" s="202"/>
      <c r="B558" s="186"/>
      <c r="C558" s="418"/>
      <c r="D558" s="418"/>
      <c r="E558" s="420" t="s">
        <v>797</v>
      </c>
      <c r="F558" s="418"/>
      <c r="G558" s="420" t="s">
        <v>798</v>
      </c>
      <c r="H558" s="418"/>
      <c r="I558" s="420" t="s">
        <v>797</v>
      </c>
      <c r="J558" s="187"/>
      <c r="K558" s="421" t="s">
        <v>799</v>
      </c>
      <c r="L558" s="188"/>
      <c r="Y558" s="466"/>
      <c r="Z558" s="466"/>
      <c r="AA558" s="466"/>
    </row>
    <row r="559" spans="1:27" s="189" customFormat="1" ht="19.5" customHeight="1" hidden="1">
      <c r="A559" s="202"/>
      <c r="B559" s="191" t="s">
        <v>800</v>
      </c>
      <c r="C559" s="299"/>
      <c r="D559" s="299"/>
      <c r="E559" s="299"/>
      <c r="F559" s="299"/>
      <c r="G559" s="192"/>
      <c r="H559" s="299"/>
      <c r="I559" s="192"/>
      <c r="J559" s="192"/>
      <c r="K559" s="192"/>
      <c r="L559" s="188"/>
      <c r="Y559" s="466"/>
      <c r="Z559" s="466"/>
      <c r="AA559" s="466"/>
    </row>
    <row r="560" spans="1:27" s="189" customFormat="1" ht="19.5" customHeight="1" hidden="1">
      <c r="A560" s="202"/>
      <c r="B560" s="191" t="s">
        <v>801</v>
      </c>
      <c r="C560" s="299"/>
      <c r="D560" s="299"/>
      <c r="E560" s="299"/>
      <c r="F560" s="299"/>
      <c r="G560" s="192"/>
      <c r="H560" s="299"/>
      <c r="I560" s="192"/>
      <c r="J560" s="192"/>
      <c r="K560" s="192"/>
      <c r="L560" s="188"/>
      <c r="Y560" s="466"/>
      <c r="Z560" s="466"/>
      <c r="AA560" s="466"/>
    </row>
    <row r="561" spans="1:27" s="189" customFormat="1" ht="19.5" customHeight="1" hidden="1">
      <c r="A561" s="202"/>
      <c r="B561" s="191" t="s">
        <v>802</v>
      </c>
      <c r="C561" s="299"/>
      <c r="D561" s="299"/>
      <c r="E561" s="191"/>
      <c r="F561" s="191"/>
      <c r="G561" s="299"/>
      <c r="H561" s="299"/>
      <c r="I561" s="192"/>
      <c r="J561" s="192"/>
      <c r="K561" s="192"/>
      <c r="L561" s="188"/>
      <c r="Y561" s="466"/>
      <c r="Z561" s="466"/>
      <c r="AA561" s="466"/>
    </row>
    <row r="562" spans="1:27" s="189" customFormat="1" ht="19.5" customHeight="1" hidden="1">
      <c r="A562" s="185"/>
      <c r="B562" s="240"/>
      <c r="C562" s="240" t="s">
        <v>150</v>
      </c>
      <c r="D562" s="260"/>
      <c r="E562" s="422">
        <f>SUM(E559:E561)</f>
        <v>0</v>
      </c>
      <c r="F562" s="422"/>
      <c r="G562" s="422">
        <f>SUM(G559:G561)</f>
        <v>0</v>
      </c>
      <c r="H562" s="260"/>
      <c r="I562" s="422">
        <f>SUM(I559:I561)</f>
        <v>0</v>
      </c>
      <c r="J562" s="423"/>
      <c r="K562" s="422">
        <f>SUM(K559:K561)</f>
        <v>0</v>
      </c>
      <c r="L562" s="188"/>
      <c r="Y562" s="466"/>
      <c r="Z562" s="466"/>
      <c r="AA562" s="466"/>
    </row>
    <row r="563" spans="1:27" s="189" customFormat="1" ht="30" customHeight="1" hidden="1">
      <c r="A563" s="281" t="s">
        <v>803</v>
      </c>
      <c r="B563" s="186" t="s">
        <v>804</v>
      </c>
      <c r="C563" s="191"/>
      <c r="D563" s="191"/>
      <c r="E563" s="191"/>
      <c r="F563" s="191"/>
      <c r="G563" s="191"/>
      <c r="H563" s="191"/>
      <c r="I563" s="248" t="str">
        <f>'[1]TTC'!D14</f>
        <v>30/06/2012</v>
      </c>
      <c r="J563" s="248"/>
      <c r="K563" s="248" t="str">
        <f>'[1]TTC'!D13</f>
        <v>01/01/2012</v>
      </c>
      <c r="L563" s="188"/>
      <c r="Y563" s="466"/>
      <c r="Z563" s="466"/>
      <c r="AA563" s="466"/>
    </row>
    <row r="564" spans="1:27" s="189" customFormat="1" ht="15.75" customHeight="1" hidden="1">
      <c r="A564" s="202"/>
      <c r="B564" s="186" t="s">
        <v>805</v>
      </c>
      <c r="C564" s="299"/>
      <c r="D564" s="299"/>
      <c r="E564" s="299"/>
      <c r="F564" s="299"/>
      <c r="G564" s="299"/>
      <c r="H564" s="299"/>
      <c r="I564" s="187"/>
      <c r="J564" s="187"/>
      <c r="K564" s="187"/>
      <c r="L564" s="257">
        <f>I564-'[1]CDKT '!I71</f>
        <v>0</v>
      </c>
      <c r="M564" s="257">
        <f>K564-'[1]CDKT '!K71</f>
        <v>0</v>
      </c>
      <c r="Y564" s="466"/>
      <c r="Z564" s="466"/>
      <c r="AA564" s="466"/>
    </row>
    <row r="565" spans="1:27" s="189" customFormat="1" ht="15.75" customHeight="1" hidden="1">
      <c r="A565" s="202"/>
      <c r="B565" s="191"/>
      <c r="C565" s="226" t="s">
        <v>806</v>
      </c>
      <c r="D565" s="299"/>
      <c r="E565" s="299"/>
      <c r="F565" s="299"/>
      <c r="G565" s="299"/>
      <c r="H565" s="299"/>
      <c r="I565" s="192"/>
      <c r="J565" s="192"/>
      <c r="K565" s="192"/>
      <c r="L565" s="188"/>
      <c r="Y565" s="466"/>
      <c r="Z565" s="466"/>
      <c r="AA565" s="466"/>
    </row>
    <row r="566" spans="1:27" s="189" customFormat="1" ht="15.75" customHeight="1" hidden="1">
      <c r="A566" s="202"/>
      <c r="B566" s="191"/>
      <c r="C566" s="191" t="s">
        <v>807</v>
      </c>
      <c r="D566" s="299"/>
      <c r="E566" s="299"/>
      <c r="F566" s="299"/>
      <c r="G566" s="299"/>
      <c r="H566" s="299"/>
      <c r="I566" s="192"/>
      <c r="J566" s="192"/>
      <c r="K566" s="192"/>
      <c r="L566" s="188"/>
      <c r="Y566" s="466"/>
      <c r="Z566" s="466"/>
      <c r="AA566" s="466"/>
    </row>
    <row r="567" spans="1:27" s="189" customFormat="1" ht="15.75" customHeight="1" hidden="1">
      <c r="A567" s="202"/>
      <c r="B567" s="191"/>
      <c r="C567" s="226" t="s">
        <v>806</v>
      </c>
      <c r="D567" s="299"/>
      <c r="E567" s="299"/>
      <c r="F567" s="299"/>
      <c r="G567" s="299"/>
      <c r="H567" s="299"/>
      <c r="I567" s="192"/>
      <c r="J567" s="192"/>
      <c r="K567" s="192"/>
      <c r="L567" s="188"/>
      <c r="Y567" s="466"/>
      <c r="Z567" s="466"/>
      <c r="AA567" s="466"/>
    </row>
    <row r="568" spans="1:27" s="189" customFormat="1" ht="15.75" customHeight="1" hidden="1">
      <c r="A568" s="202"/>
      <c r="B568" s="191"/>
      <c r="C568" s="191" t="s">
        <v>808</v>
      </c>
      <c r="D568" s="299"/>
      <c r="E568" s="299"/>
      <c r="F568" s="299"/>
      <c r="G568" s="299"/>
      <c r="H568" s="299"/>
      <c r="I568" s="192"/>
      <c r="J568" s="192"/>
      <c r="K568" s="192"/>
      <c r="L568" s="188"/>
      <c r="Y568" s="466"/>
      <c r="Z568" s="466"/>
      <c r="AA568" s="466"/>
    </row>
    <row r="569" spans="1:27" s="189" customFormat="1" ht="15.75" customHeight="1" hidden="1">
      <c r="A569" s="202"/>
      <c r="B569" s="191"/>
      <c r="C569" s="226" t="s">
        <v>806</v>
      </c>
      <c r="D569" s="299"/>
      <c r="E569" s="299"/>
      <c r="F569" s="299"/>
      <c r="G569" s="299"/>
      <c r="H569" s="299"/>
      <c r="I569" s="192"/>
      <c r="J569" s="192"/>
      <c r="K569" s="192"/>
      <c r="L569" s="188"/>
      <c r="Y569" s="466"/>
      <c r="Z569" s="466"/>
      <c r="AA569" s="466"/>
    </row>
    <row r="570" spans="1:27" s="189" customFormat="1" ht="15.75" customHeight="1" hidden="1">
      <c r="A570" s="202"/>
      <c r="B570" s="191"/>
      <c r="C570" s="191" t="s">
        <v>809</v>
      </c>
      <c r="D570" s="299"/>
      <c r="E570" s="299"/>
      <c r="F570" s="299"/>
      <c r="G570" s="299"/>
      <c r="H570" s="299"/>
      <c r="I570" s="192"/>
      <c r="J570" s="192"/>
      <c r="K570" s="192"/>
      <c r="L570" s="188"/>
      <c r="Y570" s="466"/>
      <c r="Z570" s="466"/>
      <c r="AA570" s="466"/>
    </row>
    <row r="571" spans="1:27" s="189" customFormat="1" ht="15.75" customHeight="1" hidden="1">
      <c r="A571" s="202"/>
      <c r="B571" s="191"/>
      <c r="C571" s="226" t="s">
        <v>810</v>
      </c>
      <c r="D571" s="299"/>
      <c r="E571" s="299"/>
      <c r="F571" s="299"/>
      <c r="G571" s="299"/>
      <c r="H571" s="299"/>
      <c r="I571" s="192"/>
      <c r="J571" s="192"/>
      <c r="K571" s="192"/>
      <c r="L571" s="188"/>
      <c r="Y571" s="466"/>
      <c r="Z571" s="466"/>
      <c r="AA571" s="466"/>
    </row>
    <row r="572" spans="1:27" s="189" customFormat="1" ht="15.75" customHeight="1" hidden="1">
      <c r="A572" s="202"/>
      <c r="B572" s="191"/>
      <c r="C572" s="311" t="s">
        <v>811</v>
      </c>
      <c r="D572" s="299"/>
      <c r="E572" s="299"/>
      <c r="F572" s="299"/>
      <c r="G572" s="299"/>
      <c r="H572" s="299"/>
      <c r="I572" s="192"/>
      <c r="J572" s="192"/>
      <c r="K572" s="192"/>
      <c r="L572" s="188"/>
      <c r="Y572" s="466"/>
      <c r="Z572" s="466"/>
      <c r="AA572" s="466"/>
    </row>
    <row r="573" spans="1:27" s="189" customFormat="1" ht="15.75" customHeight="1" hidden="1">
      <c r="A573" s="202"/>
      <c r="B573" s="186" t="s">
        <v>812</v>
      </c>
      <c r="C573" s="299"/>
      <c r="D573" s="299"/>
      <c r="E573" s="299"/>
      <c r="F573" s="299"/>
      <c r="G573" s="299"/>
      <c r="H573" s="299"/>
      <c r="I573" s="187">
        <f>SUM(I574:I578)</f>
        <v>0</v>
      </c>
      <c r="J573" s="187"/>
      <c r="K573" s="187">
        <f>SUM(K574:K578)</f>
        <v>0</v>
      </c>
      <c r="L573" s="257">
        <f>I573-'[1]CDKT '!I94</f>
        <v>0</v>
      </c>
      <c r="M573" s="257">
        <f>K573-'[1]CDKT '!K94</f>
        <v>0</v>
      </c>
      <c r="Y573" s="466"/>
      <c r="Z573" s="466"/>
      <c r="AA573" s="466"/>
    </row>
    <row r="574" spans="1:27" s="189" customFormat="1" ht="15.75" customHeight="1" hidden="1">
      <c r="A574" s="202"/>
      <c r="B574" s="191"/>
      <c r="C574" s="226" t="s">
        <v>813</v>
      </c>
      <c r="D574" s="299"/>
      <c r="E574" s="299"/>
      <c r="F574" s="299"/>
      <c r="G574" s="299"/>
      <c r="H574" s="299"/>
      <c r="I574" s="192"/>
      <c r="J574" s="192"/>
      <c r="K574" s="192"/>
      <c r="L574" s="188"/>
      <c r="Y574" s="466"/>
      <c r="Z574" s="466"/>
      <c r="AA574" s="466"/>
    </row>
    <row r="575" spans="1:27" s="189" customFormat="1" ht="15.75" customHeight="1" hidden="1">
      <c r="A575" s="202"/>
      <c r="B575" s="307"/>
      <c r="C575" s="191" t="s">
        <v>814</v>
      </c>
      <c r="D575" s="307"/>
      <c r="E575" s="307"/>
      <c r="F575" s="307"/>
      <c r="G575" s="307"/>
      <c r="H575" s="299"/>
      <c r="I575" s="192"/>
      <c r="J575" s="192"/>
      <c r="K575" s="192"/>
      <c r="L575" s="188"/>
      <c r="Y575" s="466"/>
      <c r="Z575" s="466"/>
      <c r="AA575" s="466"/>
    </row>
    <row r="576" spans="1:27" s="189" customFormat="1" ht="15.75" customHeight="1" hidden="1">
      <c r="A576" s="202"/>
      <c r="B576" s="191"/>
      <c r="C576" s="226" t="s">
        <v>815</v>
      </c>
      <c r="D576" s="299"/>
      <c r="E576" s="299"/>
      <c r="F576" s="299"/>
      <c r="G576" s="299"/>
      <c r="H576" s="299"/>
      <c r="I576" s="192"/>
      <c r="J576" s="192"/>
      <c r="K576" s="192"/>
      <c r="L576" s="188"/>
      <c r="Y576" s="466"/>
      <c r="Z576" s="466"/>
      <c r="AA576" s="466"/>
    </row>
    <row r="577" spans="1:27" s="189" customFormat="1" ht="15.75" customHeight="1" hidden="1">
      <c r="A577" s="202"/>
      <c r="B577" s="191"/>
      <c r="C577" s="226" t="s">
        <v>816</v>
      </c>
      <c r="D577" s="299"/>
      <c r="E577" s="299"/>
      <c r="F577" s="299"/>
      <c r="G577" s="299"/>
      <c r="H577" s="299"/>
      <c r="I577" s="192"/>
      <c r="J577" s="192"/>
      <c r="K577" s="192"/>
      <c r="L577" s="188"/>
      <c r="Y577" s="466"/>
      <c r="Z577" s="466"/>
      <c r="AA577" s="466"/>
    </row>
    <row r="578" spans="1:27" s="189" customFormat="1" ht="15.75" customHeight="1" hidden="1">
      <c r="A578" s="202"/>
      <c r="B578" s="191"/>
      <c r="C578" s="226" t="s">
        <v>817</v>
      </c>
      <c r="D578" s="299"/>
      <c r="E578" s="299"/>
      <c r="F578" s="299"/>
      <c r="G578" s="299"/>
      <c r="H578" s="299"/>
      <c r="I578" s="192"/>
      <c r="J578" s="192"/>
      <c r="K578" s="192"/>
      <c r="L578" s="188"/>
      <c r="Y578" s="466"/>
      <c r="Z578" s="466"/>
      <c r="AA578" s="466"/>
    </row>
    <row r="579" spans="1:27" s="189" customFormat="1" ht="21" customHeight="1" hidden="1">
      <c r="A579" s="223"/>
      <c r="B579" s="186"/>
      <c r="C579" s="186" t="s">
        <v>150</v>
      </c>
      <c r="D579" s="232"/>
      <c r="E579" s="232"/>
      <c r="F579" s="232"/>
      <c r="G579" s="232"/>
      <c r="H579" s="232"/>
      <c r="I579" s="266">
        <f>I573+I564</f>
        <v>0</v>
      </c>
      <c r="J579" s="187"/>
      <c r="K579" s="266">
        <f>K573+K564</f>
        <v>0</v>
      </c>
      <c r="L579" s="257"/>
      <c r="M579" s="257"/>
      <c r="Y579" s="466"/>
      <c r="Z579" s="466"/>
      <c r="AA579" s="466"/>
    </row>
    <row r="580" spans="1:27" s="189" customFormat="1" ht="21" customHeight="1" thickTop="1">
      <c r="A580" s="223"/>
      <c r="B580" s="186"/>
      <c r="C580" s="186"/>
      <c r="D580" s="232"/>
      <c r="E580" s="232"/>
      <c r="F580" s="232"/>
      <c r="G580" s="232"/>
      <c r="H580" s="232"/>
      <c r="I580" s="187"/>
      <c r="J580" s="187"/>
      <c r="K580" s="187"/>
      <c r="L580" s="257"/>
      <c r="M580" s="257"/>
      <c r="Y580" s="466"/>
      <c r="Z580" s="466"/>
      <c r="AA580" s="466"/>
    </row>
    <row r="581" spans="1:27" s="189" customFormat="1" ht="30" customHeight="1">
      <c r="A581" s="281" t="s">
        <v>509</v>
      </c>
      <c r="B581" s="186" t="s">
        <v>13</v>
      </c>
      <c r="C581" s="191"/>
      <c r="D581" s="191"/>
      <c r="E581" s="191"/>
      <c r="F581" s="191"/>
      <c r="G581" s="191"/>
      <c r="H581" s="191"/>
      <c r="I581" s="248" t="str">
        <f>I516</f>
        <v>30/09/2012</v>
      </c>
      <c r="J581" s="248"/>
      <c r="K581" s="248" t="str">
        <f>K516</f>
        <v>01/01/2012</v>
      </c>
      <c r="L581" s="188"/>
      <c r="Y581" s="466"/>
      <c r="Z581" s="466"/>
      <c r="AA581" s="466"/>
    </row>
    <row r="582" spans="1:27" s="189" customFormat="1" ht="21" customHeight="1">
      <c r="A582" s="223"/>
      <c r="B582" s="191" t="s">
        <v>818</v>
      </c>
      <c r="C582" s="191"/>
      <c r="D582" s="232"/>
      <c r="E582" s="232"/>
      <c r="F582" s="232"/>
      <c r="G582" s="232"/>
      <c r="H582" s="232"/>
      <c r="I582" s="192">
        <f>K582</f>
        <v>2565157632</v>
      </c>
      <c r="J582" s="192"/>
      <c r="K582" s="192">
        <f>'[1]CDKT '!K96</f>
        <v>2565157632</v>
      </c>
      <c r="L582" s="257"/>
      <c r="M582" s="257"/>
      <c r="Y582" s="466"/>
      <c r="Z582" s="466"/>
      <c r="AA582" s="466"/>
    </row>
    <row r="583" spans="1:27" s="189" customFormat="1" ht="21" customHeight="1" thickBot="1">
      <c r="A583" s="223"/>
      <c r="B583" s="186"/>
      <c r="C583" s="186" t="s">
        <v>150</v>
      </c>
      <c r="D583" s="232"/>
      <c r="E583" s="232"/>
      <c r="F583" s="232"/>
      <c r="G583" s="232"/>
      <c r="H583" s="232"/>
      <c r="I583" s="254">
        <f>I582</f>
        <v>2565157632</v>
      </c>
      <c r="J583" s="72"/>
      <c r="K583" s="254">
        <f>K582</f>
        <v>2565157632</v>
      </c>
      <c r="L583" s="257">
        <f>I583-'[1]CDKT '!I96</f>
        <v>0</v>
      </c>
      <c r="M583" s="257">
        <f>K583-'[1]CDKT '!K96</f>
        <v>0</v>
      </c>
      <c r="Y583" s="466"/>
      <c r="Z583" s="466"/>
      <c r="AA583" s="466"/>
    </row>
    <row r="584" spans="1:27" s="189" customFormat="1" ht="21" customHeight="1" thickTop="1">
      <c r="A584" s="223"/>
      <c r="B584" s="186"/>
      <c r="C584" s="186"/>
      <c r="D584" s="232"/>
      <c r="E584" s="232"/>
      <c r="F584" s="232"/>
      <c r="G584" s="232"/>
      <c r="H584" s="232"/>
      <c r="I584" s="72"/>
      <c r="J584" s="72"/>
      <c r="K584" s="72"/>
      <c r="L584" s="257"/>
      <c r="M584" s="257"/>
      <c r="Y584" s="466"/>
      <c r="Z584" s="466"/>
      <c r="AA584" s="466"/>
    </row>
    <row r="585" spans="1:27" s="189" customFormat="1" ht="30" customHeight="1">
      <c r="A585" s="281" t="s">
        <v>513</v>
      </c>
      <c r="B585" s="186" t="s">
        <v>83</v>
      </c>
      <c r="C585" s="191"/>
      <c r="D585" s="191"/>
      <c r="E585" s="191"/>
      <c r="F585" s="191"/>
      <c r="G585" s="191"/>
      <c r="H585" s="191"/>
      <c r="I585" s="187"/>
      <c r="J585" s="187"/>
      <c r="K585" s="187"/>
      <c r="L585" s="188"/>
      <c r="Y585" s="466"/>
      <c r="Z585" s="466"/>
      <c r="AA585" s="466"/>
    </row>
    <row r="586" spans="1:27" s="189" customFormat="1" ht="19.5" customHeight="1">
      <c r="A586" s="185"/>
      <c r="B586" s="186" t="s">
        <v>1078</v>
      </c>
      <c r="C586" s="186"/>
      <c r="D586" s="186"/>
      <c r="E586" s="186"/>
      <c r="F586" s="186"/>
      <c r="G586" s="186"/>
      <c r="H586" s="186"/>
      <c r="I586" s="187"/>
      <c r="J586" s="187"/>
      <c r="K586" s="187"/>
      <c r="L586" s="188"/>
      <c r="Y586" s="466"/>
      <c r="Z586" s="466"/>
      <c r="AA586" s="466"/>
    </row>
    <row r="587" spans="1:27" s="189" customFormat="1" ht="30" customHeight="1" hidden="1">
      <c r="A587" s="185"/>
      <c r="B587" s="240" t="s">
        <v>819</v>
      </c>
      <c r="C587" s="186"/>
      <c r="D587" s="186"/>
      <c r="E587" s="186"/>
      <c r="F587" s="186"/>
      <c r="G587" s="186"/>
      <c r="H587" s="186"/>
      <c r="I587" s="187"/>
      <c r="J587" s="187"/>
      <c r="K587" s="187"/>
      <c r="L587" s="188" t="s">
        <v>820</v>
      </c>
      <c r="Y587" s="466"/>
      <c r="Z587" s="466"/>
      <c r="AA587" s="466"/>
    </row>
    <row r="588" spans="1:27" s="189" customFormat="1" ht="33.75" customHeight="1" hidden="1">
      <c r="A588" s="185"/>
      <c r="B588" s="328"/>
      <c r="C588" s="328"/>
      <c r="D588" s="328"/>
      <c r="E588" s="400" t="s">
        <v>821</v>
      </c>
      <c r="F588" s="328"/>
      <c r="G588" s="400" t="s">
        <v>174</v>
      </c>
      <c r="H588" s="328"/>
      <c r="I588" s="424" t="s">
        <v>822</v>
      </c>
      <c r="J588" s="298"/>
      <c r="K588" s="259" t="s">
        <v>823</v>
      </c>
      <c r="L588" s="188"/>
      <c r="Y588" s="466"/>
      <c r="Z588" s="466"/>
      <c r="AA588" s="466"/>
    </row>
    <row r="589" spans="1:27" s="189" customFormat="1" ht="19.5" customHeight="1" hidden="1">
      <c r="A589" s="185"/>
      <c r="B589" s="186" t="s">
        <v>824</v>
      </c>
      <c r="C589" s="186"/>
      <c r="D589" s="186"/>
      <c r="E589" s="186"/>
      <c r="F589" s="186"/>
      <c r="G589" s="186"/>
      <c r="H589" s="186"/>
      <c r="I589" s="187"/>
      <c r="J589" s="187"/>
      <c r="K589" s="187">
        <f>SUM(E589:I589)</f>
        <v>0</v>
      </c>
      <c r="L589" s="188"/>
      <c r="Y589" s="466"/>
      <c r="Z589" s="466"/>
      <c r="AA589" s="466"/>
    </row>
    <row r="590" spans="1:27" s="189" customFormat="1" ht="19.5" customHeight="1" hidden="1">
      <c r="A590" s="185"/>
      <c r="B590" s="186"/>
      <c r="C590" s="191" t="s">
        <v>180</v>
      </c>
      <c r="D590" s="186"/>
      <c r="E590" s="425"/>
      <c r="F590" s="425"/>
      <c r="G590" s="425"/>
      <c r="H590" s="425"/>
      <c r="I590" s="426"/>
      <c r="J590" s="187"/>
      <c r="K590" s="187">
        <f aca="true" t="shared" si="6" ref="K590:K598">SUM(E590:I590)</f>
        <v>0</v>
      </c>
      <c r="L590" s="188"/>
      <c r="M590" s="189" t="s">
        <v>825</v>
      </c>
      <c r="Y590" s="466"/>
      <c r="Z590" s="466"/>
      <c r="AA590" s="466"/>
    </row>
    <row r="591" spans="1:27" s="189" customFormat="1" ht="19.5" customHeight="1" hidden="1">
      <c r="A591" s="185"/>
      <c r="B591" s="186"/>
      <c r="C591" s="191" t="s">
        <v>826</v>
      </c>
      <c r="D591" s="186"/>
      <c r="E591" s="425"/>
      <c r="F591" s="425"/>
      <c r="G591" s="425"/>
      <c r="H591" s="425"/>
      <c r="I591" s="426"/>
      <c r="J591" s="187"/>
      <c r="K591" s="187">
        <f t="shared" si="6"/>
        <v>0</v>
      </c>
      <c r="L591" s="188"/>
      <c r="Y591" s="466"/>
      <c r="Z591" s="466"/>
      <c r="AA591" s="466"/>
    </row>
    <row r="592" spans="1:27" s="189" customFormat="1" ht="19.5" customHeight="1" hidden="1">
      <c r="A592" s="185"/>
      <c r="B592" s="186"/>
      <c r="C592" s="191" t="s">
        <v>632</v>
      </c>
      <c r="D592" s="186"/>
      <c r="E592" s="425"/>
      <c r="F592" s="425"/>
      <c r="G592" s="425"/>
      <c r="H592" s="425"/>
      <c r="I592" s="426"/>
      <c r="J592" s="187"/>
      <c r="K592" s="187">
        <f t="shared" si="6"/>
        <v>0</v>
      </c>
      <c r="L592" s="188"/>
      <c r="Y592" s="466"/>
      <c r="Z592" s="466"/>
      <c r="AA592" s="466"/>
    </row>
    <row r="593" spans="1:27" s="189" customFormat="1" ht="19.5" customHeight="1" hidden="1">
      <c r="A593" s="185"/>
      <c r="B593" s="328" t="s">
        <v>827</v>
      </c>
      <c r="C593" s="328"/>
      <c r="D593" s="328"/>
      <c r="E593" s="427">
        <f>SUM(E589:E592)</f>
        <v>0</v>
      </c>
      <c r="F593" s="427"/>
      <c r="G593" s="427">
        <f>SUM(G589:G592)</f>
        <v>0</v>
      </c>
      <c r="H593" s="427"/>
      <c r="I593" s="427">
        <f>SUM(I589:I592)</f>
        <v>0</v>
      </c>
      <c r="J593" s="298"/>
      <c r="K593" s="298">
        <f t="shared" si="6"/>
        <v>0</v>
      </c>
      <c r="L593" s="257">
        <f>K593-'[1]CDKT '!K113</f>
        <v>-93984344034.99998</v>
      </c>
      <c r="Y593" s="466"/>
      <c r="Z593" s="466"/>
      <c r="AA593" s="466"/>
    </row>
    <row r="594" spans="1:27" s="189" customFormat="1" ht="19.5" customHeight="1" hidden="1">
      <c r="A594" s="185"/>
      <c r="B594" s="328" t="s">
        <v>828</v>
      </c>
      <c r="C594" s="328"/>
      <c r="D594" s="328"/>
      <c r="E594" s="427">
        <f>E593</f>
        <v>0</v>
      </c>
      <c r="F594" s="427"/>
      <c r="G594" s="427">
        <f>G593</f>
        <v>0</v>
      </c>
      <c r="H594" s="427"/>
      <c r="I594" s="427">
        <f>I593</f>
        <v>0</v>
      </c>
      <c r="J594" s="298"/>
      <c r="K594" s="298">
        <f t="shared" si="6"/>
        <v>0</v>
      </c>
      <c r="L594" s="188"/>
      <c r="Y594" s="466"/>
      <c r="Z594" s="466"/>
      <c r="AA594" s="466"/>
    </row>
    <row r="595" spans="1:27" s="189" customFormat="1" ht="19.5" customHeight="1" hidden="1">
      <c r="A595" s="185"/>
      <c r="B595" s="186"/>
      <c r="C595" s="191" t="s">
        <v>180</v>
      </c>
      <c r="D595" s="186"/>
      <c r="E595" s="425"/>
      <c r="F595" s="425"/>
      <c r="G595" s="425"/>
      <c r="H595" s="425"/>
      <c r="I595" s="426"/>
      <c r="J595" s="187"/>
      <c r="K595" s="187">
        <f t="shared" si="6"/>
        <v>0</v>
      </c>
      <c r="L595" s="188"/>
      <c r="Y595" s="466"/>
      <c r="Z595" s="466"/>
      <c r="AA595" s="466"/>
    </row>
    <row r="596" spans="1:27" s="189" customFormat="1" ht="19.5" customHeight="1" hidden="1">
      <c r="A596" s="185"/>
      <c r="B596" s="186"/>
      <c r="C596" s="191" t="s">
        <v>826</v>
      </c>
      <c r="D596" s="186"/>
      <c r="E596" s="425"/>
      <c r="F596" s="425"/>
      <c r="G596" s="425"/>
      <c r="H596" s="425"/>
      <c r="I596" s="426"/>
      <c r="J596" s="187"/>
      <c r="K596" s="187">
        <f t="shared" si="6"/>
        <v>0</v>
      </c>
      <c r="L596" s="188"/>
      <c r="Y596" s="466"/>
      <c r="Z596" s="466"/>
      <c r="AA596" s="466"/>
    </row>
    <row r="597" spans="1:27" s="189" customFormat="1" ht="19.5" customHeight="1" hidden="1">
      <c r="A597" s="185"/>
      <c r="B597" s="328"/>
      <c r="C597" s="350" t="s">
        <v>632</v>
      </c>
      <c r="D597" s="328"/>
      <c r="E597" s="427"/>
      <c r="F597" s="427"/>
      <c r="G597" s="427"/>
      <c r="H597" s="427"/>
      <c r="I597" s="428"/>
      <c r="J597" s="298"/>
      <c r="K597" s="298">
        <f t="shared" si="6"/>
        <v>0</v>
      </c>
      <c r="L597" s="188"/>
      <c r="Y597" s="466"/>
      <c r="Z597" s="466"/>
      <c r="AA597" s="466"/>
    </row>
    <row r="598" spans="1:27" s="189" customFormat="1" ht="19.5" customHeight="1" hidden="1">
      <c r="A598" s="185"/>
      <c r="B598" s="334" t="s">
        <v>829</v>
      </c>
      <c r="C598" s="334"/>
      <c r="D598" s="334"/>
      <c r="E598" s="429">
        <f>SUM(E594:E597)</f>
        <v>0</v>
      </c>
      <c r="F598" s="429"/>
      <c r="G598" s="429">
        <f>SUM(G594:G597)</f>
        <v>0</v>
      </c>
      <c r="H598" s="429"/>
      <c r="I598" s="429">
        <f>SUM(I594:I597)</f>
        <v>0</v>
      </c>
      <c r="J598" s="356"/>
      <c r="K598" s="356">
        <f t="shared" si="6"/>
        <v>0</v>
      </c>
      <c r="L598" s="257">
        <f>K598-'[1]CDKT '!I113</f>
        <v>-90527718124</v>
      </c>
      <c r="Y598" s="466"/>
      <c r="Z598" s="466"/>
      <c r="AA598" s="466"/>
    </row>
    <row r="599" spans="1:27" s="189" customFormat="1" ht="19.5" customHeight="1">
      <c r="A599" s="185"/>
      <c r="B599" s="186" t="s">
        <v>162</v>
      </c>
      <c r="C599" s="186"/>
      <c r="D599" s="186"/>
      <c r="E599" s="186"/>
      <c r="F599" s="186"/>
      <c r="G599" s="186"/>
      <c r="H599" s="186"/>
      <c r="I599" s="187"/>
      <c r="J599" s="187"/>
      <c r="K599" s="187"/>
      <c r="L599" s="188"/>
      <c r="Y599" s="466"/>
      <c r="Z599" s="466"/>
      <c r="AA599" s="466"/>
    </row>
    <row r="600" spans="1:27" s="189" customFormat="1" ht="19.5" customHeight="1">
      <c r="A600" s="202"/>
      <c r="B600" s="191"/>
      <c r="C600" s="191"/>
      <c r="D600" s="191"/>
      <c r="E600" s="191"/>
      <c r="F600" s="191"/>
      <c r="G600" s="418"/>
      <c r="H600" s="191"/>
      <c r="I600" s="248" t="s">
        <v>1055</v>
      </c>
      <c r="J600" s="248"/>
      <c r="K600" s="248" t="str">
        <f>'[1]TTC'!D13</f>
        <v>01/01/2012</v>
      </c>
      <c r="L600" s="188"/>
      <c r="Y600" s="466"/>
      <c r="Z600" s="466"/>
      <c r="AA600" s="466"/>
    </row>
    <row r="601" spans="1:27" s="189" customFormat="1" ht="15.75" customHeight="1" hidden="1">
      <c r="A601" s="202"/>
      <c r="B601" s="219" t="s">
        <v>830</v>
      </c>
      <c r="C601" s="219"/>
      <c r="D601" s="219"/>
      <c r="E601" s="219"/>
      <c r="F601" s="219"/>
      <c r="G601" s="219"/>
      <c r="H601" s="219"/>
      <c r="I601" s="184"/>
      <c r="J601" s="184"/>
      <c r="K601" s="184"/>
      <c r="L601" s="188"/>
      <c r="Y601" s="466"/>
      <c r="Z601" s="466"/>
      <c r="AA601" s="466"/>
    </row>
    <row r="602" spans="1:27" s="189" customFormat="1" ht="15.75" customHeight="1">
      <c r="A602" s="185"/>
      <c r="B602" s="242" t="s">
        <v>831</v>
      </c>
      <c r="C602" s="240"/>
      <c r="D602" s="186"/>
      <c r="E602" s="186"/>
      <c r="F602" s="186"/>
      <c r="G602" s="430"/>
      <c r="H602" s="186"/>
      <c r="I602" s="70">
        <v>53959850000</v>
      </c>
      <c r="J602" s="184"/>
      <c r="K602" s="184">
        <f>'[1]CDKT '!K114</f>
        <v>34498499999.999985</v>
      </c>
      <c r="L602" s="188"/>
      <c r="Y602" s="466"/>
      <c r="Z602" s="466"/>
      <c r="AA602" s="466"/>
    </row>
    <row r="603" spans="1:27" s="189" customFormat="1" ht="15.75" customHeight="1">
      <c r="A603" s="185"/>
      <c r="B603" s="242" t="s">
        <v>174</v>
      </c>
      <c r="C603" s="240"/>
      <c r="D603" s="186"/>
      <c r="E603" s="186"/>
      <c r="F603" s="186"/>
      <c r="G603" s="430"/>
      <c r="H603" s="186"/>
      <c r="I603" s="70">
        <v>16090726000</v>
      </c>
      <c r="J603" s="184"/>
      <c r="K603" s="184">
        <f>'[1]CDKT '!K115</f>
        <v>16170748000</v>
      </c>
      <c r="L603" s="188"/>
      <c r="Y603" s="466"/>
      <c r="Z603" s="466"/>
      <c r="AA603" s="466"/>
    </row>
    <row r="604" spans="1:27" s="189" customFormat="1" ht="15.75" customHeight="1" hidden="1">
      <c r="A604" s="185"/>
      <c r="B604" s="242" t="s">
        <v>86</v>
      </c>
      <c r="C604" s="240"/>
      <c r="D604" s="186"/>
      <c r="E604" s="186"/>
      <c r="F604" s="186"/>
      <c r="G604" s="430"/>
      <c r="H604" s="186"/>
      <c r="I604" s="184"/>
      <c r="J604" s="184"/>
      <c r="K604" s="184"/>
      <c r="L604" s="188"/>
      <c r="Y604" s="466"/>
      <c r="Z604" s="466"/>
      <c r="AA604" s="466"/>
    </row>
    <row r="605" spans="1:27" s="189" customFormat="1" ht="21" customHeight="1" thickBot="1">
      <c r="A605" s="223"/>
      <c r="B605" s="186"/>
      <c r="C605" s="186" t="s">
        <v>150</v>
      </c>
      <c r="D605" s="232"/>
      <c r="E605" s="232"/>
      <c r="F605" s="232"/>
      <c r="G605" s="187"/>
      <c r="H605" s="232"/>
      <c r="I605" s="254">
        <f>SUM(I602:I604)</f>
        <v>70050576000</v>
      </c>
      <c r="J605" s="72"/>
      <c r="K605" s="254">
        <f>SUM(K602:K604)</f>
        <v>50669247999.999985</v>
      </c>
      <c r="L605" s="257"/>
      <c r="M605" s="257"/>
      <c r="Y605" s="466"/>
      <c r="Z605" s="466"/>
      <c r="AA605" s="466"/>
    </row>
    <row r="606" spans="1:27" s="224" customFormat="1" ht="15.75" customHeight="1" hidden="1">
      <c r="A606" s="223"/>
      <c r="B606" s="232" t="s">
        <v>832</v>
      </c>
      <c r="C606" s="232"/>
      <c r="D606" s="232"/>
      <c r="E606" s="232"/>
      <c r="F606" s="232"/>
      <c r="G606" s="261"/>
      <c r="H606" s="232"/>
      <c r="I606" s="234"/>
      <c r="J606" s="234"/>
      <c r="K606" s="234"/>
      <c r="Y606" s="672"/>
      <c r="Z606" s="672"/>
      <c r="AA606" s="672"/>
    </row>
    <row r="607" spans="1:27" s="224" customFormat="1" ht="15.75" customHeight="1" hidden="1">
      <c r="A607" s="223"/>
      <c r="B607" s="232" t="s">
        <v>833</v>
      </c>
      <c r="C607" s="232"/>
      <c r="D607" s="232"/>
      <c r="E607" s="232"/>
      <c r="F607" s="232"/>
      <c r="G607" s="232"/>
      <c r="H607" s="232"/>
      <c r="I607" s="234"/>
      <c r="J607" s="234"/>
      <c r="K607" s="234"/>
      <c r="Y607" s="672"/>
      <c r="Z607" s="672"/>
      <c r="AA607" s="672"/>
    </row>
    <row r="608" spans="1:27" s="194" customFormat="1" ht="39.75" customHeight="1" thickTop="1">
      <c r="A608" s="201"/>
      <c r="B608" s="186" t="s">
        <v>834</v>
      </c>
      <c r="C608" s="191"/>
      <c r="D608" s="191"/>
      <c r="E608" s="191"/>
      <c r="F608" s="191"/>
      <c r="G608" s="191"/>
      <c r="H608" s="191"/>
      <c r="I608" s="431" t="s">
        <v>1057</v>
      </c>
      <c r="J608" s="432"/>
      <c r="K608" s="431" t="s">
        <v>14</v>
      </c>
      <c r="L608" s="191"/>
      <c r="Y608" s="667"/>
      <c r="Z608" s="667"/>
      <c r="AA608" s="667"/>
    </row>
    <row r="609" spans="1:27" s="189" customFormat="1" ht="15.75" customHeight="1">
      <c r="A609" s="202"/>
      <c r="B609" s="186" t="s">
        <v>835</v>
      </c>
      <c r="C609" s="191"/>
      <c r="D609" s="191"/>
      <c r="E609" s="191"/>
      <c r="F609" s="191"/>
      <c r="G609" s="191"/>
      <c r="H609" s="191"/>
      <c r="I609" s="187"/>
      <c r="J609" s="187"/>
      <c r="K609" s="187"/>
      <c r="L609" s="188"/>
      <c r="Y609" s="466"/>
      <c r="Z609" s="466"/>
      <c r="AA609" s="466"/>
    </row>
    <row r="610" spans="1:27" s="189" customFormat="1" ht="15.75" customHeight="1">
      <c r="A610" s="202"/>
      <c r="B610" s="191" t="s">
        <v>163</v>
      </c>
      <c r="C610" s="191"/>
      <c r="D610" s="191"/>
      <c r="E610" s="191"/>
      <c r="F610" s="191"/>
      <c r="G610" s="191"/>
      <c r="H610" s="191"/>
      <c r="I610" s="72">
        <f>I614</f>
        <v>53959850000</v>
      </c>
      <c r="J610" s="72"/>
      <c r="K610" s="72">
        <f>K614</f>
        <v>34498500000</v>
      </c>
      <c r="L610" s="188"/>
      <c r="Y610" s="466"/>
      <c r="Z610" s="466"/>
      <c r="AA610" s="466"/>
    </row>
    <row r="611" spans="1:27" s="224" customFormat="1" ht="15.75" customHeight="1">
      <c r="A611" s="223"/>
      <c r="B611" s="265"/>
      <c r="C611" s="265" t="s">
        <v>28</v>
      </c>
      <c r="D611" s="232"/>
      <c r="E611" s="232"/>
      <c r="F611" s="232"/>
      <c r="G611" s="232"/>
      <c r="H611" s="232"/>
      <c r="I611" s="258">
        <f>K614</f>
        <v>34498500000</v>
      </c>
      <c r="J611" s="258"/>
      <c r="K611" s="258">
        <v>31079800000</v>
      </c>
      <c r="Y611" s="672"/>
      <c r="Z611" s="672"/>
      <c r="AA611" s="672"/>
    </row>
    <row r="612" spans="1:27" s="224" customFormat="1" ht="15.75" customHeight="1">
      <c r="A612" s="223"/>
      <c r="B612" s="265"/>
      <c r="C612" s="265" t="s">
        <v>29</v>
      </c>
      <c r="D612" s="232"/>
      <c r="E612" s="232"/>
      <c r="F612" s="232"/>
      <c r="G612" s="232"/>
      <c r="H612" s="232"/>
      <c r="I612" s="258">
        <v>19461350000</v>
      </c>
      <c r="J612" s="258"/>
      <c r="K612" s="258">
        <v>3418700000</v>
      </c>
      <c r="Y612" s="672"/>
      <c r="Z612" s="672"/>
      <c r="AA612" s="672"/>
    </row>
    <row r="613" spans="1:27" s="224" customFormat="1" ht="15.75" customHeight="1" hidden="1">
      <c r="A613" s="223"/>
      <c r="B613" s="265"/>
      <c r="C613" s="265" t="s">
        <v>836</v>
      </c>
      <c r="D613" s="232"/>
      <c r="E613" s="232"/>
      <c r="F613" s="232"/>
      <c r="G613" s="232"/>
      <c r="H613" s="232"/>
      <c r="I613" s="258"/>
      <c r="J613" s="258"/>
      <c r="K613" s="258"/>
      <c r="Y613" s="672"/>
      <c r="Z613" s="672"/>
      <c r="AA613" s="672"/>
    </row>
    <row r="614" spans="1:27" s="224" customFormat="1" ht="15.75" customHeight="1">
      <c r="A614" s="223"/>
      <c r="B614" s="265"/>
      <c r="C614" s="265" t="s">
        <v>30</v>
      </c>
      <c r="D614" s="232"/>
      <c r="E614" s="232"/>
      <c r="F614" s="232"/>
      <c r="G614" s="232"/>
      <c r="H614" s="232"/>
      <c r="I614" s="258">
        <f>I611+I612-I613</f>
        <v>53959850000</v>
      </c>
      <c r="J614" s="258"/>
      <c r="K614" s="258">
        <f>K611+K612-K613</f>
        <v>34498500000</v>
      </c>
      <c r="L614" s="342">
        <f>I614-'[1]CDKT '!I114</f>
        <v>0</v>
      </c>
      <c r="M614" s="342">
        <f>K614-'[1]CDKT '!K114</f>
        <v>0</v>
      </c>
      <c r="Y614" s="672"/>
      <c r="Z614" s="672"/>
      <c r="AA614" s="672"/>
    </row>
    <row r="615" spans="1:27" s="189" customFormat="1" ht="15.75" customHeight="1" thickBot="1">
      <c r="A615" s="202"/>
      <c r="B615" s="191" t="s">
        <v>837</v>
      </c>
      <c r="C615" s="191"/>
      <c r="D615" s="191"/>
      <c r="E615" s="191"/>
      <c r="F615" s="191"/>
      <c r="G615" s="191"/>
      <c r="H615" s="191"/>
      <c r="I615" s="433"/>
      <c r="J615" s="184"/>
      <c r="K615" s="433">
        <v>3418700000</v>
      </c>
      <c r="L615" s="188"/>
      <c r="Y615" s="466"/>
      <c r="Z615" s="466"/>
      <c r="AA615" s="466"/>
    </row>
    <row r="616" spans="1:27" s="194" customFormat="1" ht="39.75" customHeight="1" thickTop="1">
      <c r="A616" s="201"/>
      <c r="B616" s="186" t="s">
        <v>164</v>
      </c>
      <c r="C616" s="191"/>
      <c r="D616" s="191"/>
      <c r="E616" s="191"/>
      <c r="F616" s="191"/>
      <c r="G616" s="191"/>
      <c r="H616" s="191"/>
      <c r="I616" s="431" t="s">
        <v>1057</v>
      </c>
      <c r="J616" s="432"/>
      <c r="K616" s="431" t="s">
        <v>1058</v>
      </c>
      <c r="L616" s="191"/>
      <c r="Y616" s="667"/>
      <c r="Z616" s="667"/>
      <c r="AA616" s="667"/>
    </row>
    <row r="617" spans="1:27" s="191" customFormat="1" ht="15.75" customHeight="1">
      <c r="A617" s="202"/>
      <c r="B617" s="191" t="s">
        <v>31</v>
      </c>
      <c r="I617" s="434"/>
      <c r="J617" s="192"/>
      <c r="K617" s="434"/>
      <c r="Y617" s="667"/>
      <c r="Z617" s="667"/>
      <c r="AA617" s="667"/>
    </row>
    <row r="618" spans="1:27" s="191" customFormat="1" ht="15.75" customHeight="1" thickBot="1">
      <c r="A618" s="223"/>
      <c r="B618" s="232"/>
      <c r="C618" s="232" t="s">
        <v>165</v>
      </c>
      <c r="D618" s="232"/>
      <c r="E618" s="232"/>
      <c r="F618" s="232"/>
      <c r="G618" s="232"/>
      <c r="H618" s="232"/>
      <c r="I618" s="435" t="s">
        <v>838</v>
      </c>
      <c r="J618" s="234"/>
      <c r="K618" s="435">
        <v>0.1</v>
      </c>
      <c r="Y618" s="667"/>
      <c r="Z618" s="667"/>
      <c r="AA618" s="667"/>
    </row>
    <row r="619" spans="1:27" s="191" customFormat="1" ht="15.75" customHeight="1" hidden="1">
      <c r="A619" s="202"/>
      <c r="C619" s="232" t="s">
        <v>32</v>
      </c>
      <c r="I619" s="192"/>
      <c r="J619" s="192"/>
      <c r="K619" s="192"/>
      <c r="Y619" s="667"/>
      <c r="Z619" s="667"/>
      <c r="AA619" s="667"/>
    </row>
    <row r="620" spans="1:27" s="191" customFormat="1" ht="15.75" customHeight="1" hidden="1">
      <c r="A620" s="202"/>
      <c r="B620" s="191" t="s">
        <v>839</v>
      </c>
      <c r="I620" s="315" t="s">
        <v>659</v>
      </c>
      <c r="J620" s="192"/>
      <c r="K620" s="315" t="s">
        <v>840</v>
      </c>
      <c r="Y620" s="667"/>
      <c r="Z620" s="667"/>
      <c r="AA620" s="667"/>
    </row>
    <row r="621" spans="1:27" s="189" customFormat="1" ht="30" customHeight="1" thickTop="1">
      <c r="A621" s="436"/>
      <c r="B621" s="240" t="s">
        <v>841</v>
      </c>
      <c r="C621" s="186"/>
      <c r="D621" s="186"/>
      <c r="E621" s="186"/>
      <c r="F621" s="186"/>
      <c r="G621" s="186"/>
      <c r="H621" s="186"/>
      <c r="I621" s="248" t="str">
        <f>I600</f>
        <v>30/09/2012</v>
      </c>
      <c r="J621" s="248"/>
      <c r="K621" s="248" t="str">
        <f>K600</f>
        <v>01/01/2012</v>
      </c>
      <c r="L621" s="188"/>
      <c r="Y621" s="466"/>
      <c r="Z621" s="466"/>
      <c r="AA621" s="466"/>
    </row>
    <row r="622" spans="1:27" s="189" customFormat="1" ht="15.75" customHeight="1">
      <c r="A622" s="437"/>
      <c r="B622" s="191" t="s">
        <v>842</v>
      </c>
      <c r="C622" s="191"/>
      <c r="D622" s="191"/>
      <c r="E622" s="191"/>
      <c r="F622" s="191"/>
      <c r="G622" s="191"/>
      <c r="H622" s="191"/>
      <c r="I622" s="184">
        <f>I614/10000</f>
        <v>5395985</v>
      </c>
      <c r="J622" s="184"/>
      <c r="K622" s="184">
        <f>K614/10000</f>
        <v>3449850</v>
      </c>
      <c r="L622" s="188"/>
      <c r="Y622" s="466"/>
      <c r="Z622" s="466"/>
      <c r="AA622" s="466"/>
    </row>
    <row r="623" spans="1:27" s="189" customFormat="1" ht="15.75" customHeight="1">
      <c r="A623" s="437"/>
      <c r="B623" s="191" t="s">
        <v>34</v>
      </c>
      <c r="C623" s="191"/>
      <c r="D623" s="191"/>
      <c r="E623" s="191"/>
      <c r="F623" s="191"/>
      <c r="G623" s="191"/>
      <c r="H623" s="191"/>
      <c r="I623" s="184">
        <f>I624</f>
        <v>5395985</v>
      </c>
      <c r="J623" s="184"/>
      <c r="K623" s="184">
        <f>K624</f>
        <v>3449850</v>
      </c>
      <c r="L623" s="188"/>
      <c r="Y623" s="466"/>
      <c r="Z623" s="466"/>
      <c r="AA623" s="466"/>
    </row>
    <row r="624" spans="1:27" s="189" customFormat="1" ht="15.75" customHeight="1">
      <c r="A624" s="438"/>
      <c r="B624" s="232"/>
      <c r="C624" s="232" t="s">
        <v>166</v>
      </c>
      <c r="D624" s="232"/>
      <c r="E624" s="232"/>
      <c r="F624" s="232"/>
      <c r="G624" s="232"/>
      <c r="H624" s="232"/>
      <c r="I624" s="258">
        <f>I622</f>
        <v>5395985</v>
      </c>
      <c r="J624" s="258"/>
      <c r="K624" s="258">
        <f>K622</f>
        <v>3449850</v>
      </c>
      <c r="L624" s="188"/>
      <c r="Y624" s="466"/>
      <c r="Z624" s="466"/>
      <c r="AA624" s="466"/>
    </row>
    <row r="625" spans="1:27" s="189" customFormat="1" ht="15.75" customHeight="1" hidden="1">
      <c r="A625" s="438"/>
      <c r="B625" s="232"/>
      <c r="C625" s="232" t="s">
        <v>843</v>
      </c>
      <c r="D625" s="232"/>
      <c r="E625" s="232"/>
      <c r="F625" s="232"/>
      <c r="G625" s="232"/>
      <c r="H625" s="232"/>
      <c r="I625" s="258"/>
      <c r="J625" s="258"/>
      <c r="K625" s="258"/>
      <c r="L625" s="188"/>
      <c r="Y625" s="466"/>
      <c r="Z625" s="466"/>
      <c r="AA625" s="466"/>
    </row>
    <row r="626" spans="1:27" s="189" customFormat="1" ht="15.75" customHeight="1">
      <c r="A626" s="437"/>
      <c r="B626" s="191" t="s">
        <v>167</v>
      </c>
      <c r="C626" s="191"/>
      <c r="D626" s="191"/>
      <c r="E626" s="191"/>
      <c r="F626" s="191"/>
      <c r="G626" s="191"/>
      <c r="H626" s="191"/>
      <c r="I626" s="184">
        <f>SUM(I627:I628)</f>
        <v>0</v>
      </c>
      <c r="J626" s="184"/>
      <c r="K626" s="184">
        <f>SUM(K627:K628)</f>
        <v>0</v>
      </c>
      <c r="L626" s="188"/>
      <c r="Y626" s="466"/>
      <c r="Z626" s="466"/>
      <c r="AA626" s="466"/>
    </row>
    <row r="627" spans="1:27" s="189" customFormat="1" ht="15.75" customHeight="1" hidden="1">
      <c r="A627" s="438"/>
      <c r="B627" s="232"/>
      <c r="C627" s="232" t="s">
        <v>166</v>
      </c>
      <c r="D627" s="232"/>
      <c r="E627" s="232"/>
      <c r="F627" s="232"/>
      <c r="G627" s="232"/>
      <c r="H627" s="232"/>
      <c r="I627" s="258"/>
      <c r="J627" s="258"/>
      <c r="K627" s="258"/>
      <c r="L627" s="188"/>
      <c r="Y627" s="466"/>
      <c r="Z627" s="466"/>
      <c r="AA627" s="466"/>
    </row>
    <row r="628" spans="1:27" s="189" customFormat="1" ht="15.75" customHeight="1" hidden="1">
      <c r="A628" s="438"/>
      <c r="B628" s="232"/>
      <c r="C628" s="232" t="s">
        <v>843</v>
      </c>
      <c r="D628" s="232"/>
      <c r="E628" s="232"/>
      <c r="F628" s="232"/>
      <c r="G628" s="232"/>
      <c r="H628" s="232"/>
      <c r="I628" s="258"/>
      <c r="J628" s="258"/>
      <c r="K628" s="258"/>
      <c r="L628" s="188"/>
      <c r="Y628" s="466"/>
      <c r="Z628" s="466"/>
      <c r="AA628" s="466"/>
    </row>
    <row r="629" spans="1:27" s="189" customFormat="1" ht="15.75" customHeight="1">
      <c r="A629" s="437"/>
      <c r="B629" s="191" t="s">
        <v>168</v>
      </c>
      <c r="C629" s="191"/>
      <c r="D629" s="191"/>
      <c r="E629" s="191"/>
      <c r="F629" s="191"/>
      <c r="G629" s="191"/>
      <c r="H629" s="191"/>
      <c r="I629" s="184">
        <f>SUM(I630:I631)</f>
        <v>5395985</v>
      </c>
      <c r="J629" s="184"/>
      <c r="K629" s="184">
        <f>SUM(K630:K631)</f>
        <v>3449850</v>
      </c>
      <c r="L629" s="188"/>
      <c r="Y629" s="466"/>
      <c r="Z629" s="466"/>
      <c r="AA629" s="466"/>
    </row>
    <row r="630" spans="1:27" s="189" customFormat="1" ht="15.75" customHeight="1">
      <c r="A630" s="438"/>
      <c r="B630" s="232"/>
      <c r="C630" s="232" t="s">
        <v>166</v>
      </c>
      <c r="D630" s="232"/>
      <c r="E630" s="232"/>
      <c r="F630" s="232"/>
      <c r="G630" s="232"/>
      <c r="H630" s="232"/>
      <c r="I630" s="258">
        <f>I624-I627</f>
        <v>5395985</v>
      </c>
      <c r="J630" s="258"/>
      <c r="K630" s="258">
        <f>K624-K627</f>
        <v>3449850</v>
      </c>
      <c r="L630" s="188"/>
      <c r="Y630" s="466"/>
      <c r="Z630" s="466"/>
      <c r="AA630" s="466"/>
    </row>
    <row r="631" spans="1:27" s="189" customFormat="1" ht="15.75" customHeight="1" hidden="1">
      <c r="A631" s="438"/>
      <c r="B631" s="232"/>
      <c r="C631" s="232" t="s">
        <v>843</v>
      </c>
      <c r="D631" s="232"/>
      <c r="E631" s="232"/>
      <c r="F631" s="232"/>
      <c r="G631" s="232"/>
      <c r="H631" s="232"/>
      <c r="I631" s="258">
        <f>I625-I628</f>
        <v>0</v>
      </c>
      <c r="J631" s="258"/>
      <c r="K631" s="258">
        <f>K625-K628</f>
        <v>0</v>
      </c>
      <c r="L631" s="188"/>
      <c r="Y631" s="466"/>
      <c r="Z631" s="466"/>
      <c r="AA631" s="466"/>
    </row>
    <row r="632" spans="1:27" s="189" customFormat="1" ht="15.75" customHeight="1" thickBot="1">
      <c r="A632" s="438"/>
      <c r="B632" s="232" t="s">
        <v>844</v>
      </c>
      <c r="C632" s="232"/>
      <c r="D632" s="232"/>
      <c r="E632" s="232"/>
      <c r="F632" s="232"/>
      <c r="G632" s="232"/>
      <c r="H632" s="232"/>
      <c r="I632" s="439">
        <v>10000</v>
      </c>
      <c r="J632" s="258"/>
      <c r="K632" s="439">
        <v>10000</v>
      </c>
      <c r="L632" s="188"/>
      <c r="Y632" s="466"/>
      <c r="Z632" s="466"/>
      <c r="AA632" s="466"/>
    </row>
    <row r="633" spans="1:27" s="189" customFormat="1" ht="15.75" customHeight="1" thickTop="1">
      <c r="A633" s="438"/>
      <c r="B633" s="232"/>
      <c r="C633" s="232"/>
      <c r="D633" s="232"/>
      <c r="E633" s="232"/>
      <c r="F633" s="232"/>
      <c r="G633" s="232"/>
      <c r="H633" s="232"/>
      <c r="I633" s="258"/>
      <c r="J633" s="258"/>
      <c r="K633" s="258"/>
      <c r="L633" s="188"/>
      <c r="Y633" s="466"/>
      <c r="Z633" s="466"/>
      <c r="AA633" s="466"/>
    </row>
    <row r="634" spans="1:27" s="189" customFormat="1" ht="25.5" customHeight="1">
      <c r="A634" s="436"/>
      <c r="B634" s="240" t="s">
        <v>845</v>
      </c>
      <c r="C634" s="186"/>
      <c r="D634" s="186"/>
      <c r="E634" s="186"/>
      <c r="F634" s="186"/>
      <c r="G634" s="186"/>
      <c r="H634" s="186"/>
      <c r="I634" s="248" t="s">
        <v>1055</v>
      </c>
      <c r="J634" s="248"/>
      <c r="K634" s="248" t="str">
        <f>'[1]TTC'!D13</f>
        <v>01/01/2012</v>
      </c>
      <c r="L634" s="188"/>
      <c r="Y634" s="466"/>
      <c r="Z634" s="466"/>
      <c r="AA634" s="466"/>
    </row>
    <row r="635" spans="1:27" s="189" customFormat="1" ht="15.75" customHeight="1">
      <c r="A635" s="437"/>
      <c r="B635" s="191" t="s">
        <v>846</v>
      </c>
      <c r="C635" s="299"/>
      <c r="D635" s="299"/>
      <c r="E635" s="299"/>
      <c r="F635" s="299"/>
      <c r="G635" s="299"/>
      <c r="H635" s="288"/>
      <c r="I635" s="184">
        <v>7604336409</v>
      </c>
      <c r="J635" s="184"/>
      <c r="K635" s="184">
        <f>'[1]CDKT '!K120</f>
        <v>7441846914</v>
      </c>
      <c r="L635" s="188"/>
      <c r="Y635" s="466"/>
      <c r="Z635" s="466"/>
      <c r="AA635" s="466"/>
    </row>
    <row r="636" spans="1:27" s="189" customFormat="1" ht="15.75" customHeight="1">
      <c r="A636" s="437"/>
      <c r="B636" s="191" t="s">
        <v>176</v>
      </c>
      <c r="C636" s="299"/>
      <c r="D636" s="299"/>
      <c r="E636" s="299"/>
      <c r="F636" s="299"/>
      <c r="G636" s="299"/>
      <c r="H636" s="288"/>
      <c r="I636" s="184">
        <v>4073767756</v>
      </c>
      <c r="J636" s="184"/>
      <c r="K636" s="184">
        <f>'[1]CDKT '!K121</f>
        <v>3992523010</v>
      </c>
      <c r="L636" s="188"/>
      <c r="Y636" s="466"/>
      <c r="Z636" s="466"/>
      <c r="AA636" s="466"/>
    </row>
    <row r="637" spans="1:27" s="188" customFormat="1" ht="15.75" customHeight="1" hidden="1">
      <c r="A637" s="437"/>
      <c r="B637" s="191" t="s">
        <v>847</v>
      </c>
      <c r="C637" s="299"/>
      <c r="D637" s="299"/>
      <c r="E637" s="299"/>
      <c r="F637" s="299"/>
      <c r="G637" s="299"/>
      <c r="H637" s="288"/>
      <c r="I637" s="184"/>
      <c r="J637" s="184"/>
      <c r="K637" s="184"/>
      <c r="Y637" s="466"/>
      <c r="Z637" s="466"/>
      <c r="AA637" s="466"/>
    </row>
    <row r="638" spans="1:27" s="189" customFormat="1" ht="15.75" customHeight="1" hidden="1">
      <c r="A638" s="437"/>
      <c r="B638" s="191" t="s">
        <v>848</v>
      </c>
      <c r="C638" s="299"/>
      <c r="D638" s="299"/>
      <c r="E638" s="299"/>
      <c r="F638" s="299"/>
      <c r="G638" s="299"/>
      <c r="H638" s="288"/>
      <c r="I638" s="184"/>
      <c r="J638" s="184"/>
      <c r="K638" s="184"/>
      <c r="L638" s="188"/>
      <c r="Y638" s="466"/>
      <c r="Z638" s="466"/>
      <c r="AA638" s="466"/>
    </row>
    <row r="639" spans="1:27" s="189" customFormat="1" ht="21" customHeight="1" thickBot="1">
      <c r="A639" s="438"/>
      <c r="B639" s="186"/>
      <c r="C639" s="186" t="s">
        <v>150</v>
      </c>
      <c r="D639" s="232"/>
      <c r="E639" s="232"/>
      <c r="F639" s="232"/>
      <c r="G639" s="232"/>
      <c r="H639" s="232"/>
      <c r="I639" s="254">
        <f>SUM(I635:I638)</f>
        <v>11678104165</v>
      </c>
      <c r="J639" s="72"/>
      <c r="K639" s="254">
        <f>SUM(K635:K638)</f>
        <v>11434369924</v>
      </c>
      <c r="L639" s="257"/>
      <c r="M639" s="257"/>
      <c r="Y639" s="466"/>
      <c r="Z639" s="466"/>
      <c r="AA639" s="466"/>
    </row>
    <row r="640" spans="1:27" s="189" customFormat="1" ht="21" customHeight="1" thickTop="1">
      <c r="A640" s="438"/>
      <c r="B640" s="186"/>
      <c r="C640" s="186"/>
      <c r="D640" s="232"/>
      <c r="E640" s="232"/>
      <c r="F640" s="232"/>
      <c r="G640" s="232"/>
      <c r="H640" s="232"/>
      <c r="I640" s="72"/>
      <c r="J640" s="72"/>
      <c r="K640" s="72"/>
      <c r="L640" s="257"/>
      <c r="M640" s="257"/>
      <c r="Y640" s="466"/>
      <c r="Z640" s="466"/>
      <c r="AA640" s="466"/>
    </row>
    <row r="641" spans="1:27" s="189" customFormat="1" ht="15.75" customHeight="1">
      <c r="A641" s="437"/>
      <c r="B641" s="440" t="s">
        <v>849</v>
      </c>
      <c r="C641" s="440"/>
      <c r="D641" s="440"/>
      <c r="E641" s="440"/>
      <c r="F641" s="440"/>
      <c r="G641" s="440"/>
      <c r="H641" s="440"/>
      <c r="I641" s="441"/>
      <c r="J641" s="441"/>
      <c r="K641" s="441"/>
      <c r="L641" s="188"/>
      <c r="Y641" s="466"/>
      <c r="Z641" s="466"/>
      <c r="AA641" s="466"/>
    </row>
    <row r="642" spans="1:27" s="189" customFormat="1" ht="34.5" customHeight="1">
      <c r="A642" s="437"/>
      <c r="B642" s="774" t="s">
        <v>850</v>
      </c>
      <c r="C642" s="774"/>
      <c r="D642" s="774"/>
      <c r="E642" s="774"/>
      <c r="F642" s="774"/>
      <c r="G642" s="774"/>
      <c r="H642" s="774"/>
      <c r="I642" s="774"/>
      <c r="J642" s="774"/>
      <c r="K642" s="774"/>
      <c r="L642" s="188" t="s">
        <v>439</v>
      </c>
      <c r="Y642" s="466"/>
      <c r="Z642" s="466"/>
      <c r="AA642" s="466"/>
    </row>
    <row r="643" spans="1:27" s="189" customFormat="1" ht="34.5" customHeight="1">
      <c r="A643" s="437"/>
      <c r="B643" s="774" t="s">
        <v>851</v>
      </c>
      <c r="C643" s="774"/>
      <c r="D643" s="774"/>
      <c r="E643" s="774"/>
      <c r="F643" s="774"/>
      <c r="G643" s="774"/>
      <c r="H643" s="774"/>
      <c r="I643" s="774"/>
      <c r="J643" s="774"/>
      <c r="K643" s="774"/>
      <c r="L643" s="188" t="s">
        <v>439</v>
      </c>
      <c r="Y643" s="466"/>
      <c r="Z643" s="466"/>
      <c r="AA643" s="466"/>
    </row>
    <row r="644" spans="1:27" s="189" customFormat="1" ht="109.5" customHeight="1" hidden="1">
      <c r="A644" s="437"/>
      <c r="B644" s="774" t="s">
        <v>852</v>
      </c>
      <c r="C644" s="774"/>
      <c r="D644" s="774"/>
      <c r="E644" s="774"/>
      <c r="F644" s="774"/>
      <c r="G644" s="774"/>
      <c r="H644" s="774"/>
      <c r="I644" s="774"/>
      <c r="J644" s="774"/>
      <c r="K644" s="774"/>
      <c r="L644" s="188" t="s">
        <v>853</v>
      </c>
      <c r="Y644" s="466"/>
      <c r="Z644" s="466"/>
      <c r="AA644" s="466"/>
    </row>
    <row r="645" spans="1:27" s="189" customFormat="1" ht="30" customHeight="1" hidden="1">
      <c r="A645" s="436"/>
      <c r="B645" s="442" t="s">
        <v>854</v>
      </c>
      <c r="C645" s="443"/>
      <c r="D645" s="443"/>
      <c r="E645" s="443"/>
      <c r="F645" s="443"/>
      <c r="G645" s="443"/>
      <c r="H645" s="443"/>
      <c r="I645" s="444"/>
      <c r="J645" s="444"/>
      <c r="K645" s="444"/>
      <c r="L645" s="188"/>
      <c r="Y645" s="466"/>
      <c r="Z645" s="466"/>
      <c r="AA645" s="466"/>
    </row>
    <row r="646" spans="1:27" s="189" customFormat="1" ht="30" customHeight="1" hidden="1">
      <c r="A646" s="445" t="s">
        <v>855</v>
      </c>
      <c r="B646" s="443" t="s">
        <v>856</v>
      </c>
      <c r="C646" s="440"/>
      <c r="D646" s="440"/>
      <c r="E646" s="440"/>
      <c r="F646" s="440"/>
      <c r="G646" s="440"/>
      <c r="H646" s="440"/>
      <c r="I646" s="446" t="str">
        <f>'[1]TTC'!D14</f>
        <v>30/06/2012</v>
      </c>
      <c r="J646" s="446"/>
      <c r="K646" s="446" t="str">
        <f>'[1]TTC'!D13</f>
        <v>01/01/2012</v>
      </c>
      <c r="L646" s="188"/>
      <c r="Y646" s="466"/>
      <c r="Z646" s="466"/>
      <c r="AA646" s="466"/>
    </row>
    <row r="647" spans="1:27" s="189" customFormat="1" ht="15.75" customHeight="1" hidden="1">
      <c r="A647" s="438"/>
      <c r="B647" s="440" t="s">
        <v>857</v>
      </c>
      <c r="C647" s="447"/>
      <c r="D647" s="447"/>
      <c r="E647" s="447"/>
      <c r="F647" s="447"/>
      <c r="G647" s="447"/>
      <c r="H647" s="447"/>
      <c r="I647" s="448">
        <f>K650</f>
        <v>0</v>
      </c>
      <c r="J647" s="448"/>
      <c r="K647" s="448"/>
      <c r="L647" s="188"/>
      <c r="Y647" s="466"/>
      <c r="Z647" s="466"/>
      <c r="AA647" s="466"/>
    </row>
    <row r="648" spans="1:27" s="189" customFormat="1" ht="15.75" customHeight="1" hidden="1">
      <c r="A648" s="438"/>
      <c r="B648" s="440" t="s">
        <v>858</v>
      </c>
      <c r="C648" s="447"/>
      <c r="D648" s="447"/>
      <c r="E648" s="447"/>
      <c r="F648" s="447"/>
      <c r="G648" s="447"/>
      <c r="H648" s="447"/>
      <c r="I648" s="448"/>
      <c r="J648" s="448"/>
      <c r="K648" s="448"/>
      <c r="L648" s="188"/>
      <c r="Y648" s="466"/>
      <c r="Z648" s="466"/>
      <c r="AA648" s="466"/>
    </row>
    <row r="649" spans="1:27" s="189" customFormat="1" ht="15.75" customHeight="1" hidden="1">
      <c r="A649" s="438"/>
      <c r="B649" s="440" t="s">
        <v>859</v>
      </c>
      <c r="C649" s="447"/>
      <c r="D649" s="447"/>
      <c r="E649" s="447"/>
      <c r="F649" s="447"/>
      <c r="G649" s="447"/>
      <c r="H649" s="447"/>
      <c r="I649" s="448"/>
      <c r="J649" s="448"/>
      <c r="K649" s="448"/>
      <c r="L649" s="188"/>
      <c r="Y649" s="466"/>
      <c r="Z649" s="466"/>
      <c r="AA649" s="466"/>
    </row>
    <row r="650" spans="1:27" s="189" customFormat="1" ht="15.75" customHeight="1" hidden="1">
      <c r="A650" s="438"/>
      <c r="B650" s="440" t="s">
        <v>860</v>
      </c>
      <c r="C650" s="447"/>
      <c r="D650" s="447"/>
      <c r="E650" s="447"/>
      <c r="F650" s="447"/>
      <c r="G650" s="447"/>
      <c r="H650" s="447"/>
      <c r="I650" s="449">
        <f>I647+I648-I649</f>
        <v>0</v>
      </c>
      <c r="J650" s="448"/>
      <c r="K650" s="449">
        <f>K647+K648-K649</f>
        <v>0</v>
      </c>
      <c r="L650" s="257">
        <f>I650-'[1]CDKT '!I127</f>
        <v>0</v>
      </c>
      <c r="M650" s="257">
        <f>K650-'[1]CDKT '!K127</f>
        <v>0</v>
      </c>
      <c r="Y650" s="466"/>
      <c r="Z650" s="466"/>
      <c r="AA650" s="466"/>
    </row>
    <row r="651" spans="1:27" s="189" customFormat="1" ht="30" customHeight="1" hidden="1">
      <c r="A651" s="445" t="s">
        <v>861</v>
      </c>
      <c r="B651" s="443" t="s">
        <v>862</v>
      </c>
      <c r="C651" s="440"/>
      <c r="D651" s="440"/>
      <c r="E651" s="440"/>
      <c r="F651" s="440"/>
      <c r="G651" s="440"/>
      <c r="H651" s="440"/>
      <c r="I651" s="446" t="str">
        <f>'[1]TTC'!D14</f>
        <v>30/06/2012</v>
      </c>
      <c r="J651" s="446"/>
      <c r="K651" s="446" t="str">
        <f>'[1]TTC'!D13</f>
        <v>01/01/2012</v>
      </c>
      <c r="L651" s="188"/>
      <c r="Y651" s="466"/>
      <c r="Z651" s="466"/>
      <c r="AA651" s="466"/>
    </row>
    <row r="652" spans="1:27" s="189" customFormat="1" ht="15.75" customHeight="1" hidden="1">
      <c r="A652" s="438"/>
      <c r="B652" s="440" t="s">
        <v>863</v>
      </c>
      <c r="C652" s="447"/>
      <c r="D652" s="447"/>
      <c r="E652" s="447"/>
      <c r="F652" s="447"/>
      <c r="G652" s="447"/>
      <c r="H652" s="447"/>
      <c r="I652" s="448"/>
      <c r="J652" s="448"/>
      <c r="K652" s="448"/>
      <c r="L652" s="257" t="s">
        <v>864</v>
      </c>
      <c r="M652" s="257"/>
      <c r="Y652" s="466"/>
      <c r="Z652" s="466"/>
      <c r="AA652" s="466"/>
    </row>
    <row r="653" spans="1:27" s="189" customFormat="1" ht="15.75" customHeight="1" hidden="1">
      <c r="A653" s="438"/>
      <c r="B653" s="440"/>
      <c r="C653" s="447" t="s">
        <v>862</v>
      </c>
      <c r="D653" s="447"/>
      <c r="E653" s="447"/>
      <c r="F653" s="447"/>
      <c r="G653" s="447"/>
      <c r="H653" s="447"/>
      <c r="I653" s="448"/>
      <c r="J653" s="448"/>
      <c r="K653" s="448"/>
      <c r="L653" s="257"/>
      <c r="M653" s="257"/>
      <c r="Y653" s="466"/>
      <c r="Z653" s="466"/>
      <c r="AA653" s="466"/>
    </row>
    <row r="654" spans="1:27" s="189" customFormat="1" ht="15.75" customHeight="1" hidden="1">
      <c r="A654" s="438"/>
      <c r="B654" s="440"/>
      <c r="C654" s="447" t="s">
        <v>865</v>
      </c>
      <c r="D654" s="447"/>
      <c r="E654" s="447"/>
      <c r="F654" s="447"/>
      <c r="G654" s="447"/>
      <c r="H654" s="447"/>
      <c r="I654" s="448"/>
      <c r="J654" s="448"/>
      <c r="K654" s="448"/>
      <c r="L654" s="257"/>
      <c r="M654" s="257"/>
      <c r="Y654" s="466"/>
      <c r="Z654" s="466"/>
      <c r="AA654" s="466"/>
    </row>
    <row r="655" spans="1:27" s="189" customFormat="1" ht="15.75" customHeight="1" hidden="1">
      <c r="A655" s="438"/>
      <c r="B655" s="440" t="s">
        <v>866</v>
      </c>
      <c r="C655" s="447"/>
      <c r="D655" s="447"/>
      <c r="E655" s="447"/>
      <c r="F655" s="447"/>
      <c r="G655" s="447"/>
      <c r="H655" s="447"/>
      <c r="I655" s="448"/>
      <c r="J655" s="448"/>
      <c r="K655" s="448"/>
      <c r="L655" s="257"/>
      <c r="M655" s="257"/>
      <c r="Y655" s="466"/>
      <c r="Z655" s="466"/>
      <c r="AA655" s="466"/>
    </row>
    <row r="656" spans="1:27" s="189" customFormat="1" ht="15.75" customHeight="1" hidden="1">
      <c r="A656" s="438"/>
      <c r="B656" s="440" t="s">
        <v>867</v>
      </c>
      <c r="C656" s="447"/>
      <c r="D656" s="447"/>
      <c r="E656" s="447"/>
      <c r="F656" s="447"/>
      <c r="G656" s="447"/>
      <c r="H656" s="447"/>
      <c r="I656" s="448"/>
      <c r="J656" s="448"/>
      <c r="K656" s="448"/>
      <c r="L656" s="257"/>
      <c r="M656" s="257"/>
      <c r="Y656" s="466"/>
      <c r="Z656" s="466"/>
      <c r="AA656" s="466"/>
    </row>
    <row r="657" spans="1:27" s="189" customFormat="1" ht="15.75" customHeight="1" hidden="1">
      <c r="A657" s="438"/>
      <c r="B657" s="440"/>
      <c r="C657" s="447" t="s">
        <v>868</v>
      </c>
      <c r="D657" s="447"/>
      <c r="E657" s="447"/>
      <c r="F657" s="447"/>
      <c r="G657" s="447"/>
      <c r="H657" s="447"/>
      <c r="I657" s="448"/>
      <c r="J657" s="448"/>
      <c r="K657" s="448"/>
      <c r="L657" s="257"/>
      <c r="M657" s="257"/>
      <c r="Y657" s="466"/>
      <c r="Z657" s="466"/>
      <c r="AA657" s="466"/>
    </row>
    <row r="658" spans="1:27" s="189" customFormat="1" ht="15.75" customHeight="1" hidden="1">
      <c r="A658" s="438"/>
      <c r="B658" s="440"/>
      <c r="C658" s="447" t="s">
        <v>869</v>
      </c>
      <c r="D658" s="447"/>
      <c r="E658" s="447"/>
      <c r="F658" s="447"/>
      <c r="G658" s="447"/>
      <c r="H658" s="447"/>
      <c r="I658" s="448"/>
      <c r="J658" s="448"/>
      <c r="K658" s="448"/>
      <c r="L658" s="257"/>
      <c r="M658" s="257"/>
      <c r="Y658" s="466"/>
      <c r="Z658" s="466"/>
      <c r="AA658" s="466"/>
    </row>
    <row r="659" spans="1:27" s="189" customFormat="1" ht="15.75" customHeight="1" hidden="1">
      <c r="A659" s="438"/>
      <c r="B659" s="440"/>
      <c r="C659" s="447" t="s">
        <v>802</v>
      </c>
      <c r="D659" s="447"/>
      <c r="E659" s="447"/>
      <c r="F659" s="447"/>
      <c r="G659" s="447"/>
      <c r="H659" s="447"/>
      <c r="I659" s="449"/>
      <c r="J659" s="448"/>
      <c r="K659" s="449"/>
      <c r="L659" s="257"/>
      <c r="M659" s="257"/>
      <c r="Y659" s="466"/>
      <c r="Z659" s="466"/>
      <c r="AA659" s="466"/>
    </row>
    <row r="660" spans="1:27" s="189" customFormat="1" ht="15.75" customHeight="1">
      <c r="A660" s="438"/>
      <c r="B660" s="440"/>
      <c r="C660" s="447"/>
      <c r="D660" s="447"/>
      <c r="E660" s="447"/>
      <c r="F660" s="447"/>
      <c r="G660" s="447"/>
      <c r="H660" s="447"/>
      <c r="I660" s="448"/>
      <c r="J660" s="448"/>
      <c r="K660" s="448"/>
      <c r="L660" s="257"/>
      <c r="M660" s="257"/>
      <c r="Y660" s="466"/>
      <c r="Z660" s="466"/>
      <c r="AA660" s="466"/>
    </row>
    <row r="661" spans="1:27" s="189" customFormat="1" ht="15.75" customHeight="1">
      <c r="A661" s="438"/>
      <c r="B661" s="440"/>
      <c r="C661" s="447"/>
      <c r="D661" s="447"/>
      <c r="E661" s="447"/>
      <c r="F661" s="447"/>
      <c r="G661" s="447"/>
      <c r="H661" s="447"/>
      <c r="I661" s="448"/>
      <c r="J661" s="448"/>
      <c r="K661" s="448"/>
      <c r="L661" s="257"/>
      <c r="M661" s="257"/>
      <c r="Y661" s="466"/>
      <c r="Z661" s="466"/>
      <c r="AA661" s="466"/>
    </row>
    <row r="662" spans="1:27" s="450" customFormat="1" ht="40.5" customHeight="1">
      <c r="A662" s="768" t="s">
        <v>870</v>
      </c>
      <c r="B662" s="768"/>
      <c r="C662" s="768"/>
      <c r="D662" s="768"/>
      <c r="E662" s="768"/>
      <c r="F662" s="768"/>
      <c r="G662" s="768"/>
      <c r="H662" s="768"/>
      <c r="I662" s="768"/>
      <c r="J662" s="768"/>
      <c r="K662" s="768"/>
      <c r="L662" s="193"/>
      <c r="Y662" s="675"/>
      <c r="Z662" s="675"/>
      <c r="AA662" s="675"/>
    </row>
    <row r="663" spans="1:27" s="194" customFormat="1" ht="39.75" customHeight="1">
      <c r="A663" s="201" t="s">
        <v>871</v>
      </c>
      <c r="B663" s="186" t="s">
        <v>872</v>
      </c>
      <c r="C663" s="191"/>
      <c r="D663" s="191"/>
      <c r="E663" s="191"/>
      <c r="F663" s="191"/>
      <c r="G663" s="191"/>
      <c r="H663" s="191"/>
      <c r="I663" s="431" t="s">
        <v>1057</v>
      </c>
      <c r="J663" s="432"/>
      <c r="K663" s="431" t="s">
        <v>1058</v>
      </c>
      <c r="L663" s="191"/>
      <c r="Y663" s="667"/>
      <c r="Z663" s="667"/>
      <c r="AA663" s="667"/>
    </row>
    <row r="664" spans="1:27" s="189" customFormat="1" ht="15.75" customHeight="1">
      <c r="A664" s="202"/>
      <c r="B664" s="191" t="s">
        <v>872</v>
      </c>
      <c r="C664" s="191"/>
      <c r="D664" s="191"/>
      <c r="E664" s="191"/>
      <c r="F664" s="191"/>
      <c r="G664" s="191"/>
      <c r="H664" s="191"/>
      <c r="I664" s="665">
        <v>71343828515</v>
      </c>
      <c r="J664" s="184"/>
      <c r="K664" s="665">
        <f>88016662828+447580989+1346433710</f>
        <v>89810677527</v>
      </c>
      <c r="L664" s="188"/>
      <c r="Y664" s="466"/>
      <c r="Z664" s="466"/>
      <c r="AA664" s="466"/>
    </row>
    <row r="665" spans="1:27" s="189" customFormat="1" ht="15.75" customHeight="1" hidden="1">
      <c r="A665" s="202"/>
      <c r="B665" s="191" t="s">
        <v>873</v>
      </c>
      <c r="C665" s="191"/>
      <c r="D665" s="191"/>
      <c r="E665" s="191"/>
      <c r="F665" s="191"/>
      <c r="G665" s="191"/>
      <c r="H665" s="191"/>
      <c r="I665" s="184"/>
      <c r="J665" s="184"/>
      <c r="K665" s="184"/>
      <c r="L665" s="188"/>
      <c r="Y665" s="466"/>
      <c r="Z665" s="466"/>
      <c r="AA665" s="466"/>
    </row>
    <row r="666" spans="1:27" s="189" customFormat="1" ht="15.75" customHeight="1" hidden="1">
      <c r="A666" s="202"/>
      <c r="B666" s="191" t="s">
        <v>874</v>
      </c>
      <c r="C666" s="191"/>
      <c r="D666" s="191"/>
      <c r="E666" s="191"/>
      <c r="F666" s="191"/>
      <c r="G666" s="191"/>
      <c r="H666" s="191"/>
      <c r="I666" s="184"/>
      <c r="J666" s="184"/>
      <c r="K666" s="184"/>
      <c r="L666" s="188"/>
      <c r="Y666" s="466"/>
      <c r="Z666" s="466"/>
      <c r="AA666" s="466"/>
    </row>
    <row r="667" spans="1:27" s="189" customFormat="1" ht="15.75" customHeight="1" hidden="1">
      <c r="A667" s="202"/>
      <c r="B667" s="191" t="s">
        <v>875</v>
      </c>
      <c r="C667" s="191"/>
      <c r="D667" s="191"/>
      <c r="E667" s="191"/>
      <c r="F667" s="191"/>
      <c r="G667" s="191"/>
      <c r="H667" s="191"/>
      <c r="I667" s="184"/>
      <c r="J667" s="184"/>
      <c r="K667" s="184"/>
      <c r="L667" s="257" t="s">
        <v>876</v>
      </c>
      <c r="Y667" s="466"/>
      <c r="Z667" s="466"/>
      <c r="AA667" s="466"/>
    </row>
    <row r="668" spans="1:27" s="189" customFormat="1" ht="21" customHeight="1" thickBot="1">
      <c r="A668" s="223"/>
      <c r="B668" s="186"/>
      <c r="C668" s="186" t="s">
        <v>150</v>
      </c>
      <c r="D668" s="232"/>
      <c r="E668" s="232"/>
      <c r="F668" s="232"/>
      <c r="G668" s="232"/>
      <c r="H668" s="232"/>
      <c r="I668" s="254">
        <f>SUM(I664:I667)</f>
        <v>71343828515</v>
      </c>
      <c r="J668" s="72"/>
      <c r="K668" s="254">
        <f>SUM(K664:K667)</f>
        <v>89810677527</v>
      </c>
      <c r="L668" s="257">
        <f>I668-'[1]KQKD 1'!H9</f>
        <v>-28036081466</v>
      </c>
      <c r="M668" s="257">
        <f>K668-'[1]KQKD 1'!J9</f>
        <v>-15804006599</v>
      </c>
      <c r="Y668" s="466"/>
      <c r="Z668" s="466"/>
      <c r="AA668" s="466"/>
    </row>
    <row r="669" spans="1:27" s="189" customFormat="1" ht="21" customHeight="1" hidden="1">
      <c r="A669" s="438"/>
      <c r="B669" s="440" t="s">
        <v>877</v>
      </c>
      <c r="C669" s="443"/>
      <c r="D669" s="447"/>
      <c r="E669" s="447"/>
      <c r="F669" s="447"/>
      <c r="G669" s="447"/>
      <c r="H669" s="447"/>
      <c r="I669" s="444"/>
      <c r="J669" s="444"/>
      <c r="K669" s="444"/>
      <c r="L669" s="257"/>
      <c r="M669" s="257"/>
      <c r="Y669" s="466"/>
      <c r="Z669" s="466"/>
      <c r="AA669" s="466"/>
    </row>
    <row r="670" spans="1:27" s="224" customFormat="1" ht="15.75" customHeight="1" hidden="1">
      <c r="A670" s="438"/>
      <c r="B670" s="451" t="s">
        <v>878</v>
      </c>
      <c r="C670" s="447" t="s">
        <v>879</v>
      </c>
      <c r="D670" s="447"/>
      <c r="E670" s="447"/>
      <c r="F670" s="447"/>
      <c r="G670" s="447"/>
      <c r="H670" s="447"/>
      <c r="I670" s="452"/>
      <c r="J670" s="452"/>
      <c r="K670" s="452"/>
      <c r="L670" s="342"/>
      <c r="M670" s="342"/>
      <c r="Y670" s="672"/>
      <c r="Z670" s="672"/>
      <c r="AA670" s="672"/>
    </row>
    <row r="671" spans="1:27" s="224" customFormat="1" ht="15.75" customHeight="1" hidden="1">
      <c r="A671" s="438"/>
      <c r="B671" s="451" t="s">
        <v>880</v>
      </c>
      <c r="C671" s="447" t="s">
        <v>881</v>
      </c>
      <c r="D671" s="447"/>
      <c r="E671" s="447"/>
      <c r="F671" s="447"/>
      <c r="G671" s="447"/>
      <c r="H671" s="447"/>
      <c r="I671" s="452"/>
      <c r="J671" s="452"/>
      <c r="K671" s="452"/>
      <c r="L671" s="342"/>
      <c r="M671" s="342"/>
      <c r="Y671" s="672"/>
      <c r="Z671" s="672"/>
      <c r="AA671" s="672"/>
    </row>
    <row r="672" spans="1:27" s="224" customFormat="1" ht="15.75" customHeight="1" hidden="1">
      <c r="A672" s="438"/>
      <c r="B672" s="447"/>
      <c r="C672" s="447" t="s">
        <v>882</v>
      </c>
      <c r="D672" s="447"/>
      <c r="E672" s="447"/>
      <c r="F672" s="447"/>
      <c r="G672" s="447"/>
      <c r="H672" s="447"/>
      <c r="I672" s="452"/>
      <c r="J672" s="452"/>
      <c r="K672" s="452"/>
      <c r="L672" s="342"/>
      <c r="M672" s="342"/>
      <c r="Y672" s="672"/>
      <c r="Z672" s="672"/>
      <c r="AA672" s="672"/>
    </row>
    <row r="673" spans="1:27" s="194" customFormat="1" ht="39.75" customHeight="1" thickTop="1">
      <c r="A673" s="201" t="s">
        <v>883</v>
      </c>
      <c r="B673" s="186" t="s">
        <v>884</v>
      </c>
      <c r="C673" s="191"/>
      <c r="D673" s="191"/>
      <c r="E673" s="191"/>
      <c r="F673" s="191"/>
      <c r="G673" s="191"/>
      <c r="H673" s="191"/>
      <c r="I673" s="431" t="s">
        <v>1057</v>
      </c>
      <c r="J673" s="432"/>
      <c r="K673" s="431" t="s">
        <v>1058</v>
      </c>
      <c r="L673" s="191"/>
      <c r="Y673" s="667"/>
      <c r="Z673" s="667"/>
      <c r="AA673" s="667"/>
    </row>
    <row r="674" spans="1:27" s="224" customFormat="1" ht="15.75" customHeight="1" hidden="1">
      <c r="A674" s="223"/>
      <c r="B674" s="191" t="s">
        <v>885</v>
      </c>
      <c r="C674" s="232"/>
      <c r="D674" s="232"/>
      <c r="E674" s="232"/>
      <c r="F674" s="232"/>
      <c r="G674" s="232"/>
      <c r="H674" s="232"/>
      <c r="I674" s="323"/>
      <c r="J674" s="323"/>
      <c r="K674" s="323"/>
      <c r="L674" s="342"/>
      <c r="M674" s="342"/>
      <c r="Y674" s="672"/>
      <c r="Z674" s="672"/>
      <c r="AA674" s="672"/>
    </row>
    <row r="675" spans="1:27" s="224" customFormat="1" ht="15.75" customHeight="1" hidden="1">
      <c r="A675" s="223"/>
      <c r="B675" s="191" t="s">
        <v>886</v>
      </c>
      <c r="C675" s="232"/>
      <c r="D675" s="232"/>
      <c r="E675" s="232"/>
      <c r="F675" s="232"/>
      <c r="G675" s="232"/>
      <c r="H675" s="232"/>
      <c r="I675" s="184"/>
      <c r="J675" s="323"/>
      <c r="K675" s="323"/>
      <c r="L675" s="453"/>
      <c r="Y675" s="672"/>
      <c r="Z675" s="672"/>
      <c r="AA675" s="672"/>
    </row>
    <row r="676" spans="1:27" s="224" customFormat="1" ht="15.75" customHeight="1">
      <c r="A676" s="223"/>
      <c r="B676" s="191" t="s">
        <v>103</v>
      </c>
      <c r="C676" s="232"/>
      <c r="D676" s="232"/>
      <c r="E676" s="232"/>
      <c r="F676" s="232"/>
      <c r="G676" s="232"/>
      <c r="H676" s="232"/>
      <c r="I676" s="184"/>
      <c r="J676" s="323"/>
      <c r="K676" s="184">
        <v>386736458</v>
      </c>
      <c r="L676" s="342"/>
      <c r="M676" s="342"/>
      <c r="Y676" s="672"/>
      <c r="Z676" s="672"/>
      <c r="AA676" s="672"/>
    </row>
    <row r="677" spans="1:27" s="224" customFormat="1" ht="15.75" customHeight="1" hidden="1">
      <c r="A677" s="223"/>
      <c r="B677" s="191" t="s">
        <v>887</v>
      </c>
      <c r="C677" s="232"/>
      <c r="D677" s="232"/>
      <c r="E677" s="232"/>
      <c r="F677" s="232"/>
      <c r="G677" s="232"/>
      <c r="H677" s="232"/>
      <c r="I677" s="323"/>
      <c r="J677" s="323"/>
      <c r="K677" s="323"/>
      <c r="L677" s="342"/>
      <c r="M677" s="342"/>
      <c r="Y677" s="672"/>
      <c r="Z677" s="672"/>
      <c r="AA677" s="672"/>
    </row>
    <row r="678" spans="1:27" s="189" customFormat="1" ht="15.75" customHeight="1" hidden="1">
      <c r="A678" s="202"/>
      <c r="B678" s="191" t="s">
        <v>752</v>
      </c>
      <c r="C678" s="191"/>
      <c r="D678" s="191"/>
      <c r="E678" s="191"/>
      <c r="F678" s="191"/>
      <c r="G678" s="191"/>
      <c r="H678" s="191"/>
      <c r="I678" s="184"/>
      <c r="J678" s="184"/>
      <c r="K678" s="184"/>
      <c r="L678" s="188"/>
      <c r="Y678" s="466"/>
      <c r="Z678" s="466"/>
      <c r="AA678" s="466"/>
    </row>
    <row r="679" spans="1:27" s="189" customFormat="1" ht="15.75" customHeight="1" hidden="1">
      <c r="A679" s="202"/>
      <c r="B679" s="191" t="s">
        <v>885</v>
      </c>
      <c r="C679" s="191"/>
      <c r="D679" s="191"/>
      <c r="E679" s="191"/>
      <c r="F679" s="191"/>
      <c r="G679" s="191"/>
      <c r="H679" s="191"/>
      <c r="I679" s="184"/>
      <c r="J679" s="184"/>
      <c r="K679" s="184">
        <v>0</v>
      </c>
      <c r="L679" s="188"/>
      <c r="Y679" s="466"/>
      <c r="Z679" s="466"/>
      <c r="AA679" s="466"/>
    </row>
    <row r="680" spans="1:27" s="189" customFormat="1" ht="15.75" customHeight="1" hidden="1">
      <c r="A680" s="202"/>
      <c r="B680" s="191" t="s">
        <v>888</v>
      </c>
      <c r="C680" s="191"/>
      <c r="D680" s="191"/>
      <c r="E680" s="191"/>
      <c r="F680" s="191"/>
      <c r="G680" s="191"/>
      <c r="H680" s="191"/>
      <c r="I680" s="184"/>
      <c r="J680" s="184"/>
      <c r="K680" s="184"/>
      <c r="L680" s="188"/>
      <c r="Y680" s="466"/>
      <c r="Z680" s="466"/>
      <c r="AA680" s="466"/>
    </row>
    <row r="681" spans="1:27" s="189" customFormat="1" ht="21" customHeight="1" thickBot="1">
      <c r="A681" s="223"/>
      <c r="B681" s="186"/>
      <c r="C681" s="186" t="s">
        <v>150</v>
      </c>
      <c r="D681" s="232"/>
      <c r="E681" s="232"/>
      <c r="F681" s="232"/>
      <c r="G681" s="232"/>
      <c r="H681" s="232"/>
      <c r="I681" s="254">
        <f>SUM(I674:I680)</f>
        <v>0</v>
      </c>
      <c r="J681" s="72"/>
      <c r="K681" s="254">
        <f>SUM(K674:K680)</f>
        <v>386736458</v>
      </c>
      <c r="L681" s="257">
        <f>I681-'[1]KQKD 1'!H10</f>
        <v>-1065563800</v>
      </c>
      <c r="M681" s="257">
        <f>K681-'[1]KQKD 1'!J10</f>
        <v>386736458</v>
      </c>
      <c r="Y681" s="466"/>
      <c r="Z681" s="466"/>
      <c r="AA681" s="466"/>
    </row>
    <row r="682" spans="1:27" s="194" customFormat="1" ht="39.75" customHeight="1" thickTop="1">
      <c r="A682" s="201" t="s">
        <v>889</v>
      </c>
      <c r="B682" s="186" t="s">
        <v>890</v>
      </c>
      <c r="C682" s="191"/>
      <c r="D682" s="191"/>
      <c r="E682" s="191"/>
      <c r="F682" s="191"/>
      <c r="G682" s="191"/>
      <c r="H682" s="191"/>
      <c r="I682" s="431" t="s">
        <v>1057</v>
      </c>
      <c r="J682" s="432"/>
      <c r="K682" s="431" t="s">
        <v>1058</v>
      </c>
      <c r="L682" s="191"/>
      <c r="Y682" s="667"/>
      <c r="Z682" s="667"/>
      <c r="AA682" s="667"/>
    </row>
    <row r="683" spans="1:27" s="189" customFormat="1" ht="15.75" customHeight="1">
      <c r="A683" s="202"/>
      <c r="B683" s="191" t="s">
        <v>169</v>
      </c>
      <c r="C683" s="191"/>
      <c r="D683" s="191"/>
      <c r="E683" s="191"/>
      <c r="F683" s="191"/>
      <c r="G683" s="191"/>
      <c r="H683" s="191"/>
      <c r="I683" s="184">
        <f>I668-I681</f>
        <v>71343828515</v>
      </c>
      <c r="J683" s="184"/>
      <c r="K683" s="184">
        <f>K668-K681</f>
        <v>89423941069</v>
      </c>
      <c r="L683" s="188"/>
      <c r="Y683" s="466"/>
      <c r="Z683" s="466"/>
      <c r="AA683" s="466"/>
    </row>
    <row r="684" spans="1:27" s="189" customFormat="1" ht="15.75" customHeight="1" hidden="1">
      <c r="A684" s="202"/>
      <c r="B684" s="191" t="s">
        <v>891</v>
      </c>
      <c r="C684" s="191"/>
      <c r="D684" s="191"/>
      <c r="E684" s="191"/>
      <c r="F684" s="191"/>
      <c r="G684" s="191"/>
      <c r="H684" s="191"/>
      <c r="I684" s="184"/>
      <c r="J684" s="184"/>
      <c r="K684" s="184"/>
      <c r="L684" s="188"/>
      <c r="Y684" s="466"/>
      <c r="Z684" s="466"/>
      <c r="AA684" s="466"/>
    </row>
    <row r="685" spans="1:27" s="189" customFormat="1" ht="15.75" customHeight="1" hidden="1">
      <c r="A685" s="202"/>
      <c r="B685" s="191" t="s">
        <v>892</v>
      </c>
      <c r="C685" s="191"/>
      <c r="D685" s="191"/>
      <c r="E685" s="191"/>
      <c r="F685" s="191"/>
      <c r="G685" s="191"/>
      <c r="H685" s="191"/>
      <c r="I685" s="184"/>
      <c r="J685" s="184"/>
      <c r="K685" s="184"/>
      <c r="L685" s="188"/>
      <c r="Y685" s="466"/>
      <c r="Z685" s="466"/>
      <c r="AA685" s="466"/>
    </row>
    <row r="686" spans="1:27" s="189" customFormat="1" ht="15.75" customHeight="1" hidden="1">
      <c r="A686" s="202"/>
      <c r="B686" s="191" t="s">
        <v>893</v>
      </c>
      <c r="C686" s="191"/>
      <c r="D686" s="191"/>
      <c r="E686" s="191"/>
      <c r="F686" s="191"/>
      <c r="G686" s="191"/>
      <c r="H686" s="191"/>
      <c r="I686" s="184"/>
      <c r="J686" s="184"/>
      <c r="K686" s="184"/>
      <c r="L686" s="188"/>
      <c r="Y686" s="466"/>
      <c r="Z686" s="466"/>
      <c r="AA686" s="466"/>
    </row>
    <row r="687" spans="1:27" s="189" customFormat="1" ht="21" customHeight="1" thickBot="1">
      <c r="A687" s="223"/>
      <c r="B687" s="186"/>
      <c r="C687" s="186" t="s">
        <v>150</v>
      </c>
      <c r="D687" s="232"/>
      <c r="E687" s="232"/>
      <c r="F687" s="232"/>
      <c r="G687" s="232"/>
      <c r="H687" s="232"/>
      <c r="I687" s="254">
        <f>SUM(I683:I686)</f>
        <v>71343828515</v>
      </c>
      <c r="J687" s="72"/>
      <c r="K687" s="254">
        <f>SUM(K683:K686)</f>
        <v>89423941069</v>
      </c>
      <c r="L687" s="257">
        <f>I687-'[1]KQKD 1'!H11</f>
        <v>-26970517666</v>
      </c>
      <c r="M687" s="257">
        <f>K687-'[1]KQKD 1'!J11</f>
        <v>-16190743057</v>
      </c>
      <c r="Y687" s="466"/>
      <c r="Z687" s="466"/>
      <c r="AA687" s="466"/>
    </row>
    <row r="688" spans="1:27" s="194" customFormat="1" ht="39.75" customHeight="1" thickTop="1">
      <c r="A688" s="201" t="s">
        <v>894</v>
      </c>
      <c r="B688" s="186" t="s">
        <v>895</v>
      </c>
      <c r="C688" s="191"/>
      <c r="D688" s="191"/>
      <c r="E688" s="191"/>
      <c r="F688" s="191"/>
      <c r="G688" s="191"/>
      <c r="H688" s="191"/>
      <c r="I688" s="431" t="s">
        <v>1057</v>
      </c>
      <c r="J688" s="432"/>
      <c r="K688" s="431" t="s">
        <v>1058</v>
      </c>
      <c r="L688" s="191"/>
      <c r="Y688" s="667"/>
      <c r="Z688" s="667"/>
      <c r="AA688" s="667"/>
    </row>
    <row r="689" spans="1:27" s="189" customFormat="1" ht="15.75" customHeight="1" hidden="1">
      <c r="A689" s="202"/>
      <c r="B689" s="191" t="s">
        <v>896</v>
      </c>
      <c r="C689" s="191"/>
      <c r="D689" s="191"/>
      <c r="E689" s="191"/>
      <c r="F689" s="191"/>
      <c r="G689" s="191"/>
      <c r="H689" s="191"/>
      <c r="I689" s="184"/>
      <c r="J689" s="184"/>
      <c r="K689" s="184"/>
      <c r="L689" s="188"/>
      <c r="Y689" s="466"/>
      <c r="Z689" s="466"/>
      <c r="AA689" s="466"/>
    </row>
    <row r="690" spans="1:27" s="189" customFormat="1" ht="15.75" customHeight="1">
      <c r="A690" s="202"/>
      <c r="B690" s="191" t="s">
        <v>897</v>
      </c>
      <c r="C690" s="191"/>
      <c r="D690" s="191"/>
      <c r="E690" s="191"/>
      <c r="F690" s="191"/>
      <c r="G690" s="191"/>
      <c r="H690" s="191"/>
      <c r="I690" s="661">
        <v>50117862684</v>
      </c>
      <c r="J690" s="184"/>
      <c r="K690" s="184">
        <v>64900354811</v>
      </c>
      <c r="L690" s="188"/>
      <c r="Y690" s="466"/>
      <c r="Z690" s="466"/>
      <c r="AA690" s="466"/>
    </row>
    <row r="691" spans="1:27" s="189" customFormat="1" ht="15.75" customHeight="1" hidden="1">
      <c r="A691" s="202"/>
      <c r="B691" s="191" t="s">
        <v>898</v>
      </c>
      <c r="C691" s="191"/>
      <c r="D691" s="191"/>
      <c r="E691" s="191"/>
      <c r="F691" s="191"/>
      <c r="G691" s="191"/>
      <c r="H691" s="191"/>
      <c r="I691" s="184"/>
      <c r="J691" s="184"/>
      <c r="K691" s="184"/>
      <c r="L691" s="188"/>
      <c r="Y691" s="466"/>
      <c r="Z691" s="466"/>
      <c r="AA691" s="466"/>
    </row>
    <row r="692" spans="1:27" s="189" customFormat="1" ht="15.75" customHeight="1" hidden="1">
      <c r="A692" s="202"/>
      <c r="B692" s="191" t="s">
        <v>899</v>
      </c>
      <c r="C692" s="191"/>
      <c r="D692" s="191"/>
      <c r="E692" s="191"/>
      <c r="F692" s="191"/>
      <c r="G692" s="191"/>
      <c r="H692" s="191"/>
      <c r="I692" s="184"/>
      <c r="J692" s="184"/>
      <c r="K692" s="184"/>
      <c r="L692" s="188"/>
      <c r="Y692" s="466"/>
      <c r="Z692" s="466"/>
      <c r="AA692" s="466"/>
    </row>
    <row r="693" spans="1:27" s="189" customFormat="1" ht="15.75" customHeight="1" hidden="1">
      <c r="A693" s="202"/>
      <c r="B693" s="191" t="s">
        <v>900</v>
      </c>
      <c r="C693" s="191"/>
      <c r="D693" s="191"/>
      <c r="E693" s="191"/>
      <c r="F693" s="191"/>
      <c r="G693" s="191"/>
      <c r="H693" s="191"/>
      <c r="I693" s="270"/>
      <c r="J693" s="270"/>
      <c r="K693" s="270"/>
      <c r="L693" s="188"/>
      <c r="Y693" s="466"/>
      <c r="Z693" s="466"/>
      <c r="AA693" s="466"/>
    </row>
    <row r="694" spans="1:27" s="189" customFormat="1" ht="15.75" customHeight="1" hidden="1">
      <c r="A694" s="202"/>
      <c r="B694" s="191" t="s">
        <v>901</v>
      </c>
      <c r="C694" s="191"/>
      <c r="D694" s="191"/>
      <c r="E694" s="191"/>
      <c r="F694" s="191"/>
      <c r="G694" s="191"/>
      <c r="H694" s="191"/>
      <c r="I694" s="270"/>
      <c r="J694" s="270"/>
      <c r="K694" s="270"/>
      <c r="L694" s="188" t="s">
        <v>587</v>
      </c>
      <c r="Y694" s="466"/>
      <c r="Z694" s="466"/>
      <c r="AA694" s="466"/>
    </row>
    <row r="695" spans="1:27" s="189" customFormat="1" ht="15.75" customHeight="1" hidden="1">
      <c r="A695" s="202"/>
      <c r="B695" s="191" t="s">
        <v>902</v>
      </c>
      <c r="C695" s="191"/>
      <c r="D695" s="191"/>
      <c r="E695" s="191"/>
      <c r="F695" s="191"/>
      <c r="G695" s="191"/>
      <c r="H695" s="191"/>
      <c r="I695" s="270"/>
      <c r="J695" s="270"/>
      <c r="K695" s="270"/>
      <c r="L695" s="188"/>
      <c r="Y695" s="466"/>
      <c r="Z695" s="466"/>
      <c r="AA695" s="466"/>
    </row>
    <row r="696" spans="1:27" s="189" customFormat="1" ht="15.75" customHeight="1">
      <c r="A696" s="202"/>
      <c r="B696" s="191" t="s">
        <v>12</v>
      </c>
      <c r="C696" s="191"/>
      <c r="D696" s="191"/>
      <c r="E696" s="191"/>
      <c r="F696" s="191"/>
      <c r="G696" s="191"/>
      <c r="H696" s="191"/>
      <c r="I696" s="70"/>
      <c r="J696" s="270"/>
      <c r="K696" s="184"/>
      <c r="L696" s="188"/>
      <c r="Y696" s="466"/>
      <c r="Z696" s="466"/>
      <c r="AA696" s="466"/>
    </row>
    <row r="697" spans="1:27" s="189" customFormat="1" ht="19.5" customHeight="1" thickBot="1">
      <c r="A697" s="185"/>
      <c r="B697" s="186"/>
      <c r="C697" s="186" t="s">
        <v>150</v>
      </c>
      <c r="D697" s="186"/>
      <c r="E697" s="186"/>
      <c r="F697" s="186"/>
      <c r="G697" s="186"/>
      <c r="H697" s="186"/>
      <c r="I697" s="254">
        <f>SUM(I689:I696)</f>
        <v>50117862684</v>
      </c>
      <c r="J697" s="72"/>
      <c r="K697" s="254">
        <f>SUM(K689:K696)</f>
        <v>64900354811</v>
      </c>
      <c r="L697" s="257">
        <f>I697-'[1]KQKD 1'!H12</f>
        <v>-19232831016</v>
      </c>
      <c r="M697" s="257">
        <f>K697-'[1]KQKD 1'!J12</f>
        <v>-9982097783</v>
      </c>
      <c r="Y697" s="466"/>
      <c r="Z697" s="466"/>
      <c r="AA697" s="466"/>
    </row>
    <row r="698" spans="1:27" s="194" customFormat="1" ht="39.75" customHeight="1" thickTop="1">
      <c r="A698" s="201" t="s">
        <v>903</v>
      </c>
      <c r="B698" s="186" t="s">
        <v>904</v>
      </c>
      <c r="C698" s="191"/>
      <c r="D698" s="191"/>
      <c r="E698" s="191"/>
      <c r="F698" s="191"/>
      <c r="G698" s="191"/>
      <c r="H698" s="191"/>
      <c r="I698" s="431" t="s">
        <v>1057</v>
      </c>
      <c r="J698" s="432"/>
      <c r="K698" s="431" t="s">
        <v>1058</v>
      </c>
      <c r="L698" s="191"/>
      <c r="Y698" s="667"/>
      <c r="Z698" s="667"/>
      <c r="AA698" s="667"/>
    </row>
    <row r="699" spans="1:27" s="189" customFormat="1" ht="15.75" customHeight="1">
      <c r="A699" s="202"/>
      <c r="B699" s="191" t="s">
        <v>35</v>
      </c>
      <c r="C699" s="191"/>
      <c r="D699" s="191"/>
      <c r="E699" s="191"/>
      <c r="F699" s="191"/>
      <c r="G699" s="191"/>
      <c r="H699" s="191"/>
      <c r="I699" s="661">
        <v>47736640</v>
      </c>
      <c r="J699" s="184"/>
      <c r="K699" s="184">
        <v>273092831</v>
      </c>
      <c r="L699" s="251">
        <f>(0.76*20828)</f>
        <v>15829.28</v>
      </c>
      <c r="Y699" s="466"/>
      <c r="Z699" s="466"/>
      <c r="AA699" s="466"/>
    </row>
    <row r="700" spans="1:27" s="189" customFormat="1" ht="15.75" customHeight="1" hidden="1">
      <c r="A700" s="202"/>
      <c r="B700" s="191" t="s">
        <v>905</v>
      </c>
      <c r="C700" s="191"/>
      <c r="D700" s="191"/>
      <c r="E700" s="191"/>
      <c r="F700" s="191"/>
      <c r="G700" s="191"/>
      <c r="H700" s="191"/>
      <c r="I700" s="184"/>
      <c r="J700" s="184"/>
      <c r="K700" s="184"/>
      <c r="L700" s="251"/>
      <c r="Y700" s="466"/>
      <c r="Z700" s="466"/>
      <c r="AA700" s="466"/>
    </row>
    <row r="701" spans="1:27" s="189" customFormat="1" ht="15.75" customHeight="1" hidden="1">
      <c r="A701" s="202"/>
      <c r="B701" s="191" t="s">
        <v>906</v>
      </c>
      <c r="C701" s="191"/>
      <c r="D701" s="191"/>
      <c r="E701" s="191"/>
      <c r="F701" s="191"/>
      <c r="G701" s="191"/>
      <c r="H701" s="191"/>
      <c r="I701" s="184"/>
      <c r="J701" s="184"/>
      <c r="K701" s="184"/>
      <c r="L701" s="251"/>
      <c r="Y701" s="466"/>
      <c r="Z701" s="466"/>
      <c r="AA701" s="466"/>
    </row>
    <row r="702" spans="1:27" s="189" customFormat="1" ht="15.75" customHeight="1" hidden="1">
      <c r="A702" s="202"/>
      <c r="B702" s="191" t="s">
        <v>907</v>
      </c>
      <c r="C702" s="191"/>
      <c r="D702" s="191"/>
      <c r="E702" s="191"/>
      <c r="F702" s="191"/>
      <c r="G702" s="191"/>
      <c r="H702" s="191"/>
      <c r="I702" s="184"/>
      <c r="J702" s="184"/>
      <c r="K702" s="184"/>
      <c r="L702" s="251"/>
      <c r="Y702" s="466"/>
      <c r="Z702" s="466"/>
      <c r="AA702" s="466"/>
    </row>
    <row r="703" spans="1:27" s="189" customFormat="1" ht="15.75" customHeight="1">
      <c r="A703" s="202"/>
      <c r="B703" s="191" t="s">
        <v>908</v>
      </c>
      <c r="C703" s="191"/>
      <c r="D703" s="191"/>
      <c r="E703" s="191"/>
      <c r="F703" s="191"/>
      <c r="G703" s="191"/>
      <c r="H703" s="191"/>
      <c r="I703" s="184"/>
      <c r="J703" s="184"/>
      <c r="K703" s="184"/>
      <c r="L703" s="251">
        <f>5.92*20828</f>
        <v>123301.76</v>
      </c>
      <c r="Y703" s="466"/>
      <c r="Z703" s="466"/>
      <c r="AA703" s="466"/>
    </row>
    <row r="704" spans="1:27" s="189" customFormat="1" ht="15.75" customHeight="1" hidden="1">
      <c r="A704" s="202"/>
      <c r="B704" s="191" t="s">
        <v>909</v>
      </c>
      <c r="C704" s="191"/>
      <c r="D704" s="191"/>
      <c r="E704" s="191"/>
      <c r="F704" s="191"/>
      <c r="G704" s="191"/>
      <c r="H704" s="191"/>
      <c r="I704" s="184"/>
      <c r="J704" s="184"/>
      <c r="K704" s="184"/>
      <c r="Y704" s="466"/>
      <c r="Z704" s="466"/>
      <c r="AA704" s="466"/>
    </row>
    <row r="705" spans="1:27" s="189" customFormat="1" ht="15.75" customHeight="1">
      <c r="A705" s="202"/>
      <c r="B705" s="191" t="s">
        <v>910</v>
      </c>
      <c r="C705" s="191"/>
      <c r="D705" s="191"/>
      <c r="E705" s="191"/>
      <c r="F705" s="191"/>
      <c r="G705" s="191"/>
      <c r="H705" s="191"/>
      <c r="I705" s="184"/>
      <c r="J705" s="184"/>
      <c r="K705" s="184"/>
      <c r="L705" s="251"/>
      <c r="Y705" s="466"/>
      <c r="Z705" s="466"/>
      <c r="AA705" s="466"/>
    </row>
    <row r="706" spans="1:27" s="189" customFormat="1" ht="15.75" customHeight="1" hidden="1">
      <c r="A706" s="202"/>
      <c r="B706" s="191" t="s">
        <v>911</v>
      </c>
      <c r="C706" s="191"/>
      <c r="D706" s="191"/>
      <c r="E706" s="191"/>
      <c r="F706" s="191"/>
      <c r="G706" s="191"/>
      <c r="H706" s="191"/>
      <c r="I706" s="184"/>
      <c r="J706" s="184"/>
      <c r="K706" s="184"/>
      <c r="L706" s="188"/>
      <c r="Y706" s="466"/>
      <c r="Z706" s="466"/>
      <c r="AA706" s="466"/>
    </row>
    <row r="707" spans="1:27" s="189" customFormat="1" ht="19.5" customHeight="1" thickBot="1">
      <c r="A707" s="185"/>
      <c r="B707" s="186"/>
      <c r="C707" s="186" t="s">
        <v>150</v>
      </c>
      <c r="D707" s="186"/>
      <c r="E707" s="186"/>
      <c r="F707" s="186"/>
      <c r="G707" s="186"/>
      <c r="H707" s="186"/>
      <c r="I707" s="254">
        <f>SUM(I699:I706)</f>
        <v>47736640</v>
      </c>
      <c r="J707" s="72"/>
      <c r="K707" s="254">
        <f>SUM(K699:K706)</f>
        <v>273092831</v>
      </c>
      <c r="L707" s="256">
        <f>I707-'[1]KQKD 1'!H15</f>
        <v>-115506310</v>
      </c>
      <c r="M707" s="257">
        <f>K707-'[1]KQKD 1'!J15</f>
        <v>-519640357</v>
      </c>
      <c r="Y707" s="466"/>
      <c r="Z707" s="466"/>
      <c r="AA707" s="466"/>
    </row>
    <row r="708" spans="1:27" s="194" customFormat="1" ht="39.75" customHeight="1" thickTop="1">
      <c r="A708" s="201" t="s">
        <v>912</v>
      </c>
      <c r="B708" s="186" t="s">
        <v>913</v>
      </c>
      <c r="C708" s="191"/>
      <c r="D708" s="191"/>
      <c r="E708" s="191"/>
      <c r="F708" s="191"/>
      <c r="G708" s="191"/>
      <c r="H708" s="191"/>
      <c r="I708" s="431" t="s">
        <v>1057</v>
      </c>
      <c r="J708" s="432"/>
      <c r="K708" s="431" t="s">
        <v>1058</v>
      </c>
      <c r="L708" s="191"/>
      <c r="Y708" s="667"/>
      <c r="Z708" s="667"/>
      <c r="AA708" s="667"/>
    </row>
    <row r="709" spans="1:27" s="189" customFormat="1" ht="15.75" customHeight="1">
      <c r="A709" s="202"/>
      <c r="B709" s="191" t="s">
        <v>914</v>
      </c>
      <c r="C709" s="191"/>
      <c r="D709" s="191"/>
      <c r="E709" s="191"/>
      <c r="F709" s="191"/>
      <c r="G709" s="191"/>
      <c r="H709" s="191"/>
      <c r="I709" s="661">
        <v>1954099045</v>
      </c>
      <c r="J709" s="184"/>
      <c r="K709" s="184">
        <v>1939832517</v>
      </c>
      <c r="L709" s="251">
        <f>31773.95*20828</f>
        <v>661787830.6</v>
      </c>
      <c r="Y709" s="466"/>
      <c r="Z709" s="466"/>
      <c r="AA709" s="466"/>
    </row>
    <row r="710" spans="1:27" s="189" customFormat="1" ht="15.75" customHeight="1" hidden="1">
      <c r="A710" s="202"/>
      <c r="B710" s="191" t="s">
        <v>915</v>
      </c>
      <c r="C710" s="191"/>
      <c r="D710" s="191"/>
      <c r="E710" s="191"/>
      <c r="F710" s="191"/>
      <c r="G710" s="191"/>
      <c r="H710" s="191"/>
      <c r="I710" s="184"/>
      <c r="J710" s="184"/>
      <c r="K710" s="184"/>
      <c r="L710" s="188"/>
      <c r="Y710" s="466"/>
      <c r="Z710" s="466"/>
      <c r="AA710" s="466"/>
    </row>
    <row r="711" spans="1:27" s="189" customFormat="1" ht="15.75" customHeight="1" hidden="1">
      <c r="A711" s="202"/>
      <c r="B711" s="191" t="s">
        <v>916</v>
      </c>
      <c r="C711" s="191"/>
      <c r="D711" s="191"/>
      <c r="E711" s="191"/>
      <c r="F711" s="191"/>
      <c r="G711" s="191"/>
      <c r="H711" s="191"/>
      <c r="I711" s="184"/>
      <c r="J711" s="184"/>
      <c r="K711" s="184"/>
      <c r="L711" s="188"/>
      <c r="Y711" s="466"/>
      <c r="Z711" s="466"/>
      <c r="AA711" s="466"/>
    </row>
    <row r="712" spans="1:27" s="189" customFormat="1" ht="15.75" customHeight="1" hidden="1">
      <c r="A712" s="202"/>
      <c r="B712" s="191" t="s">
        <v>917</v>
      </c>
      <c r="C712" s="191"/>
      <c r="D712" s="191"/>
      <c r="E712" s="191"/>
      <c r="F712" s="191"/>
      <c r="G712" s="191"/>
      <c r="H712" s="191"/>
      <c r="I712" s="184"/>
      <c r="J712" s="184"/>
      <c r="K712" s="184"/>
      <c r="L712" s="188"/>
      <c r="Y712" s="466"/>
      <c r="Z712" s="466"/>
      <c r="AA712" s="466"/>
    </row>
    <row r="713" spans="1:27" s="189" customFormat="1" ht="15.75" customHeight="1">
      <c r="A713" s="202"/>
      <c r="B713" s="191" t="s">
        <v>918</v>
      </c>
      <c r="C713" s="191"/>
      <c r="D713" s="191"/>
      <c r="E713" s="191"/>
      <c r="F713" s="191"/>
      <c r="G713" s="191"/>
      <c r="H713" s="191"/>
      <c r="I713" s="184"/>
      <c r="J713" s="184"/>
      <c r="K713" s="184"/>
      <c r="L713" s="251"/>
      <c r="Y713" s="466"/>
      <c r="Z713" s="466"/>
      <c r="AA713" s="466"/>
    </row>
    <row r="714" spans="1:27" s="189" customFormat="1" ht="15.75" customHeight="1" hidden="1">
      <c r="A714" s="202"/>
      <c r="B714" s="191" t="s">
        <v>919</v>
      </c>
      <c r="C714" s="191"/>
      <c r="D714" s="191"/>
      <c r="E714" s="191"/>
      <c r="F714" s="191"/>
      <c r="G714" s="191"/>
      <c r="H714" s="191"/>
      <c r="I714" s="184"/>
      <c r="J714" s="184"/>
      <c r="K714" s="184"/>
      <c r="L714" s="188"/>
      <c r="Y714" s="466"/>
      <c r="Z714" s="466"/>
      <c r="AA714" s="466"/>
    </row>
    <row r="715" spans="1:27" s="189" customFormat="1" ht="15.75" customHeight="1" hidden="1">
      <c r="A715" s="202"/>
      <c r="B715" s="191" t="s">
        <v>920</v>
      </c>
      <c r="C715" s="191"/>
      <c r="D715" s="191"/>
      <c r="E715" s="191"/>
      <c r="F715" s="191"/>
      <c r="G715" s="191"/>
      <c r="H715" s="191"/>
      <c r="I715" s="184"/>
      <c r="J715" s="184"/>
      <c r="K715" s="184"/>
      <c r="L715" s="188"/>
      <c r="Y715" s="466"/>
      <c r="Z715" s="466"/>
      <c r="AA715" s="466"/>
    </row>
    <row r="716" spans="1:27" s="189" customFormat="1" ht="15.75" customHeight="1">
      <c r="A716" s="202"/>
      <c r="B716" s="191" t="s">
        <v>921</v>
      </c>
      <c r="C716" s="191"/>
      <c r="D716" s="191"/>
      <c r="E716" s="191"/>
      <c r="F716" s="191"/>
      <c r="G716" s="191"/>
      <c r="H716" s="191"/>
      <c r="I716" s="184">
        <v>7157890</v>
      </c>
      <c r="J716" s="184"/>
      <c r="K716" s="184">
        <v>299625468</v>
      </c>
      <c r="L716" s="251">
        <f>28.24*20828</f>
        <v>588182.72</v>
      </c>
      <c r="Y716" s="466"/>
      <c r="Z716" s="466"/>
      <c r="AA716" s="466"/>
    </row>
    <row r="717" spans="1:27" s="189" customFormat="1" ht="19.5" customHeight="1" thickBot="1">
      <c r="A717" s="185"/>
      <c r="B717" s="186"/>
      <c r="C717" s="186" t="s">
        <v>150</v>
      </c>
      <c r="D717" s="186"/>
      <c r="E717" s="186"/>
      <c r="F717" s="186"/>
      <c r="G717" s="186"/>
      <c r="H717" s="186"/>
      <c r="I717" s="254">
        <f>SUM(I709:I716)</f>
        <v>1961256935</v>
      </c>
      <c r="J717" s="72"/>
      <c r="K717" s="254">
        <f>SUM(K709:K716)</f>
        <v>2239457985</v>
      </c>
      <c r="L717" s="256">
        <f>I717-'[1]KQKD 1'!H16</f>
        <v>-2254613359</v>
      </c>
      <c r="M717" s="257">
        <f>K717-'[1]KQKD 1'!J16</f>
        <v>-1434886476</v>
      </c>
      <c r="Y717" s="466"/>
      <c r="Z717" s="466"/>
      <c r="AA717" s="466"/>
    </row>
    <row r="718" spans="1:27" s="189" customFormat="1" ht="19.5" customHeight="1" thickTop="1">
      <c r="A718" s="185"/>
      <c r="B718" s="186"/>
      <c r="C718" s="186"/>
      <c r="D718" s="186"/>
      <c r="E718" s="186"/>
      <c r="F718" s="186"/>
      <c r="G718" s="186"/>
      <c r="H718" s="186"/>
      <c r="I718" s="72"/>
      <c r="J718" s="72"/>
      <c r="K718" s="72"/>
      <c r="L718" s="256"/>
      <c r="M718" s="257"/>
      <c r="Y718" s="466"/>
      <c r="Z718" s="466"/>
      <c r="AA718" s="466"/>
    </row>
    <row r="719" spans="1:27" s="189" customFormat="1" ht="19.5" customHeight="1">
      <c r="A719" s="185"/>
      <c r="B719" s="186"/>
      <c r="C719" s="186"/>
      <c r="D719" s="186"/>
      <c r="E719" s="186"/>
      <c r="F719" s="186"/>
      <c r="G719" s="186"/>
      <c r="H719" s="186"/>
      <c r="I719" s="72"/>
      <c r="J719" s="72"/>
      <c r="K719" s="72"/>
      <c r="L719" s="256"/>
      <c r="M719" s="257"/>
      <c r="Y719" s="466"/>
      <c r="Z719" s="466"/>
      <c r="AA719" s="466"/>
    </row>
    <row r="720" spans="1:27" s="194" customFormat="1" ht="39.75" customHeight="1">
      <c r="A720" s="201" t="s">
        <v>922</v>
      </c>
      <c r="B720" s="186" t="s">
        <v>923</v>
      </c>
      <c r="C720" s="191"/>
      <c r="D720" s="191"/>
      <c r="E720" s="191"/>
      <c r="F720" s="191"/>
      <c r="G720" s="191"/>
      <c r="H720" s="191"/>
      <c r="I720" s="431" t="s">
        <v>1057</v>
      </c>
      <c r="J720" s="432"/>
      <c r="K720" s="431" t="s">
        <v>1058</v>
      </c>
      <c r="L720" s="191"/>
      <c r="Y720" s="667"/>
      <c r="Z720" s="667"/>
      <c r="AA720" s="667"/>
    </row>
    <row r="721" spans="1:27" s="189" customFormat="1" ht="15.75" customHeight="1">
      <c r="A721" s="202"/>
      <c r="B721" s="191" t="s">
        <v>924</v>
      </c>
      <c r="C721" s="191"/>
      <c r="D721" s="191"/>
      <c r="E721" s="191"/>
      <c r="F721" s="191"/>
      <c r="G721" s="191"/>
      <c r="H721" s="191"/>
      <c r="I721" s="184"/>
      <c r="J721" s="184"/>
      <c r="K721" s="184"/>
      <c r="L721" s="251"/>
      <c r="Y721" s="466"/>
      <c r="Z721" s="466"/>
      <c r="AA721" s="466"/>
    </row>
    <row r="722" spans="1:27" s="189" customFormat="1" ht="15.75" customHeight="1">
      <c r="A722" s="202"/>
      <c r="B722" s="191" t="s">
        <v>925</v>
      </c>
      <c r="C722" s="191"/>
      <c r="D722" s="191"/>
      <c r="E722" s="191"/>
      <c r="F722" s="191"/>
      <c r="G722" s="191"/>
      <c r="H722" s="191"/>
      <c r="I722" s="184"/>
      <c r="J722" s="184"/>
      <c r="K722" s="184"/>
      <c r="L722" s="251"/>
      <c r="Y722" s="466"/>
      <c r="Z722" s="466"/>
      <c r="AA722" s="466"/>
    </row>
    <row r="723" spans="1:27" s="189" customFormat="1" ht="15.75" customHeight="1" hidden="1">
      <c r="A723" s="202"/>
      <c r="B723" s="191" t="s">
        <v>926</v>
      </c>
      <c r="C723" s="191"/>
      <c r="D723" s="191"/>
      <c r="E723" s="191"/>
      <c r="F723" s="191"/>
      <c r="G723" s="191"/>
      <c r="H723" s="191"/>
      <c r="I723" s="184"/>
      <c r="J723" s="184"/>
      <c r="K723" s="184"/>
      <c r="L723" s="251"/>
      <c r="Y723" s="466"/>
      <c r="Z723" s="466"/>
      <c r="AA723" s="466"/>
    </row>
    <row r="724" spans="1:27" s="189" customFormat="1" ht="15.75" customHeight="1">
      <c r="A724" s="202"/>
      <c r="B724" s="191" t="s">
        <v>927</v>
      </c>
      <c r="C724" s="191"/>
      <c r="D724" s="191"/>
      <c r="E724" s="191"/>
      <c r="F724" s="191"/>
      <c r="G724" s="191"/>
      <c r="H724" s="191"/>
      <c r="I724" s="184">
        <v>26375700</v>
      </c>
      <c r="J724" s="184"/>
      <c r="K724" s="184">
        <v>114419157</v>
      </c>
      <c r="L724" s="251"/>
      <c r="Y724" s="466"/>
      <c r="Z724" s="466"/>
      <c r="AA724" s="466"/>
    </row>
    <row r="725" spans="1:27" s="189" customFormat="1" ht="15.75" customHeight="1">
      <c r="A725" s="202"/>
      <c r="B725" s="191" t="s">
        <v>923</v>
      </c>
      <c r="C725" s="191"/>
      <c r="D725" s="191"/>
      <c r="E725" s="191"/>
      <c r="F725" s="191"/>
      <c r="G725" s="191"/>
      <c r="H725" s="191"/>
      <c r="I725" s="184"/>
      <c r="J725" s="184"/>
      <c r="K725" s="184"/>
      <c r="L725" s="251">
        <f>1.01*20828+945.83*20828</f>
        <v>19720783.520000003</v>
      </c>
      <c r="Y725" s="466"/>
      <c r="Z725" s="466"/>
      <c r="AA725" s="466"/>
    </row>
    <row r="726" spans="1:27" s="189" customFormat="1" ht="19.5" customHeight="1" thickBot="1">
      <c r="A726" s="185"/>
      <c r="B726" s="186"/>
      <c r="C726" s="186" t="s">
        <v>150</v>
      </c>
      <c r="D726" s="186"/>
      <c r="E726" s="186"/>
      <c r="F726" s="186"/>
      <c r="G726" s="186"/>
      <c r="H726" s="186"/>
      <c r="I726" s="254">
        <f>SUM(I721:I725)</f>
        <v>26375700</v>
      </c>
      <c r="J726" s="72"/>
      <c r="K726" s="254">
        <f>SUM(K721:K725)</f>
        <v>114419157</v>
      </c>
      <c r="L726" s="256">
        <f>I726-'[1]KQKD 1'!H22</f>
        <v>-769016698</v>
      </c>
      <c r="M726" s="257">
        <f>K726-'[1]KQKD 1'!J22</f>
        <v>-1594952179</v>
      </c>
      <c r="Y726" s="466"/>
      <c r="Z726" s="466"/>
      <c r="AA726" s="466"/>
    </row>
    <row r="727" spans="1:27" s="194" customFormat="1" ht="39.75" customHeight="1" thickTop="1">
      <c r="A727" s="201" t="s">
        <v>928</v>
      </c>
      <c r="B727" s="186" t="s">
        <v>929</v>
      </c>
      <c r="C727" s="191"/>
      <c r="D727" s="191"/>
      <c r="E727" s="191"/>
      <c r="F727" s="191"/>
      <c r="G727" s="191"/>
      <c r="H727" s="191"/>
      <c r="I727" s="431" t="s">
        <v>1057</v>
      </c>
      <c r="J727" s="432"/>
      <c r="K727" s="431" t="s">
        <v>1058</v>
      </c>
      <c r="L727" s="191"/>
      <c r="Y727" s="667"/>
      <c r="Z727" s="667"/>
      <c r="AA727" s="667"/>
    </row>
    <row r="728" spans="1:27" s="189" customFormat="1" ht="15.75" customHeight="1">
      <c r="A728" s="202"/>
      <c r="B728" s="191" t="s">
        <v>930</v>
      </c>
      <c r="C728" s="191"/>
      <c r="D728" s="191"/>
      <c r="E728" s="191"/>
      <c r="F728" s="191"/>
      <c r="G728" s="191"/>
      <c r="H728" s="191"/>
      <c r="I728" s="184"/>
      <c r="J728" s="184"/>
      <c r="K728" s="184">
        <v>0</v>
      </c>
      <c r="L728" s="251"/>
      <c r="Y728" s="466"/>
      <c r="Z728" s="466"/>
      <c r="AA728" s="466"/>
    </row>
    <row r="729" spans="1:27" s="189" customFormat="1" ht="15.75" customHeight="1">
      <c r="A729" s="202"/>
      <c r="B729" s="191" t="s">
        <v>931</v>
      </c>
      <c r="C729" s="191"/>
      <c r="D729" s="191"/>
      <c r="E729" s="191"/>
      <c r="F729" s="191"/>
      <c r="G729" s="191"/>
      <c r="H729" s="191"/>
      <c r="I729" s="184"/>
      <c r="J729" s="184"/>
      <c r="K729" s="184">
        <v>0</v>
      </c>
      <c r="L729" s="188"/>
      <c r="Y729" s="466"/>
      <c r="Z729" s="466"/>
      <c r="AA729" s="466"/>
    </row>
    <row r="730" spans="1:27" s="189" customFormat="1" ht="15.75" customHeight="1">
      <c r="A730" s="202"/>
      <c r="B730" s="191" t="s">
        <v>932</v>
      </c>
      <c r="C730" s="191"/>
      <c r="D730" s="191"/>
      <c r="E730" s="191"/>
      <c r="F730" s="191"/>
      <c r="G730" s="191"/>
      <c r="H730" s="191"/>
      <c r="I730" s="184"/>
      <c r="J730" s="184"/>
      <c r="K730" s="184">
        <v>0</v>
      </c>
      <c r="L730" s="188"/>
      <c r="Y730" s="466"/>
      <c r="Z730" s="466"/>
      <c r="AA730" s="466"/>
    </row>
    <row r="731" spans="1:27" s="189" customFormat="1" ht="15.75" customHeight="1">
      <c r="A731" s="202"/>
      <c r="B731" s="191" t="s">
        <v>933</v>
      </c>
      <c r="C731" s="191"/>
      <c r="D731" s="191"/>
      <c r="E731" s="191"/>
      <c r="F731" s="191"/>
      <c r="G731" s="191"/>
      <c r="H731" s="191"/>
      <c r="I731" s="184"/>
      <c r="J731" s="184"/>
      <c r="K731" s="184">
        <v>0</v>
      </c>
      <c r="L731" s="188"/>
      <c r="Y731" s="466"/>
      <c r="Z731" s="466"/>
      <c r="AA731" s="466"/>
    </row>
    <row r="732" spans="1:27" s="189" customFormat="1" ht="15.75" customHeight="1">
      <c r="A732" s="202"/>
      <c r="B732" s="191" t="s">
        <v>929</v>
      </c>
      <c r="C732" s="191"/>
      <c r="D732" s="191"/>
      <c r="E732" s="191"/>
      <c r="F732" s="191"/>
      <c r="G732" s="191"/>
      <c r="H732" s="191"/>
      <c r="I732" s="184">
        <v>26711920</v>
      </c>
      <c r="J732" s="184"/>
      <c r="K732" s="184">
        <v>39935492</v>
      </c>
      <c r="L732" s="251">
        <f>(2096.45)*20828</f>
        <v>43664860.599999994</v>
      </c>
      <c r="Y732" s="466"/>
      <c r="Z732" s="466"/>
      <c r="AA732" s="466"/>
    </row>
    <row r="733" spans="1:27" s="189" customFormat="1" ht="19.5" customHeight="1" thickBot="1">
      <c r="A733" s="185"/>
      <c r="B733" s="186"/>
      <c r="C733" s="186" t="s">
        <v>150</v>
      </c>
      <c r="D733" s="186"/>
      <c r="E733" s="186"/>
      <c r="F733" s="186"/>
      <c r="G733" s="186"/>
      <c r="H733" s="186"/>
      <c r="I733" s="254">
        <f>SUM(I728:I732)</f>
        <v>26711920</v>
      </c>
      <c r="J733" s="72"/>
      <c r="K733" s="254">
        <f>SUM(K728:K732)</f>
        <v>39935492</v>
      </c>
      <c r="L733" s="256">
        <f>I733-'[1]KQKD 1'!H23</f>
        <v>-1281313143</v>
      </c>
      <c r="M733" s="257">
        <f>K733-'[1]KQKD 1'!J23</f>
        <v>-95190341</v>
      </c>
      <c r="Y733" s="466"/>
      <c r="Z733" s="466"/>
      <c r="AA733" s="466"/>
    </row>
    <row r="734" spans="1:27" s="194" customFormat="1" ht="39.75" customHeight="1" thickTop="1">
      <c r="A734" s="201" t="s">
        <v>934</v>
      </c>
      <c r="B734" s="186" t="s">
        <v>935</v>
      </c>
      <c r="C734" s="191"/>
      <c r="D734" s="191"/>
      <c r="E734" s="191"/>
      <c r="F734" s="191"/>
      <c r="G734" s="191"/>
      <c r="H734" s="191"/>
      <c r="I734" s="431" t="s">
        <v>1057</v>
      </c>
      <c r="J734" s="432"/>
      <c r="K734" s="431" t="s">
        <v>1058</v>
      </c>
      <c r="L734" s="191"/>
      <c r="Y734" s="667"/>
      <c r="Z734" s="667"/>
      <c r="AA734" s="667"/>
    </row>
    <row r="735" spans="1:27" s="189" customFormat="1" ht="15.75" customHeight="1">
      <c r="A735" s="236"/>
      <c r="B735" s="186" t="s">
        <v>936</v>
      </c>
      <c r="C735" s="186"/>
      <c r="D735" s="454"/>
      <c r="E735" s="454"/>
      <c r="F735" s="454"/>
      <c r="G735" s="454"/>
      <c r="H735" s="195"/>
      <c r="I735" s="72">
        <v>-936820179</v>
      </c>
      <c r="J735" s="72"/>
      <c r="K735" s="72">
        <v>1165489801</v>
      </c>
      <c r="L735" s="188"/>
      <c r="M735" s="455"/>
      <c r="Y735" s="466"/>
      <c r="Z735" s="466"/>
      <c r="AA735" s="466"/>
    </row>
    <row r="736" spans="1:27" s="189" customFormat="1" ht="30" customHeight="1">
      <c r="A736" s="236"/>
      <c r="B736" s="786" t="s">
        <v>937</v>
      </c>
      <c r="C736" s="786"/>
      <c r="D736" s="786"/>
      <c r="E736" s="786"/>
      <c r="F736" s="786"/>
      <c r="G736" s="786"/>
      <c r="H736" s="195"/>
      <c r="I736" s="72">
        <f>I737+I738</f>
        <v>0</v>
      </c>
      <c r="J736" s="323"/>
      <c r="K736" s="72">
        <f>K737+K738</f>
        <v>0</v>
      </c>
      <c r="L736" s="188"/>
      <c r="N736" s="456"/>
      <c r="Y736" s="466"/>
      <c r="Z736" s="466"/>
      <c r="AA736" s="466"/>
    </row>
    <row r="737" spans="1:27" s="189" customFormat="1" ht="15.75" customHeight="1" hidden="1">
      <c r="A737" s="202"/>
      <c r="B737" s="191" t="s">
        <v>938</v>
      </c>
      <c r="C737" s="191"/>
      <c r="D737" s="239"/>
      <c r="E737" s="239"/>
      <c r="F737" s="239"/>
      <c r="G737" s="239"/>
      <c r="H737" s="191"/>
      <c r="I737" s="184">
        <v>0</v>
      </c>
      <c r="J737" s="184"/>
      <c r="K737" s="184">
        <f>K729+K730</f>
        <v>0</v>
      </c>
      <c r="L737" s="188"/>
      <c r="Y737" s="466"/>
      <c r="Z737" s="466"/>
      <c r="AA737" s="466"/>
    </row>
    <row r="738" spans="1:27" s="189" customFormat="1" ht="15.75" customHeight="1" hidden="1">
      <c r="A738" s="202"/>
      <c r="B738" s="191" t="s">
        <v>939</v>
      </c>
      <c r="C738" s="191"/>
      <c r="D738" s="239"/>
      <c r="E738" s="239"/>
      <c r="F738" s="239"/>
      <c r="G738" s="239"/>
      <c r="H738" s="191"/>
      <c r="I738" s="184"/>
      <c r="J738" s="184"/>
      <c r="K738" s="184"/>
      <c r="L738" s="188" t="s">
        <v>587</v>
      </c>
      <c r="Y738" s="466"/>
      <c r="Z738" s="466"/>
      <c r="AA738" s="466"/>
    </row>
    <row r="739" spans="1:27" s="238" customFormat="1" ht="15.75" customHeight="1">
      <c r="A739" s="185"/>
      <c r="B739" s="186" t="s">
        <v>940</v>
      </c>
      <c r="C739" s="186"/>
      <c r="D739" s="454"/>
      <c r="E739" s="454"/>
      <c r="F739" s="454"/>
      <c r="G739" s="454"/>
      <c r="H739" s="186"/>
      <c r="I739" s="72">
        <f>I735+I736</f>
        <v>-936820179</v>
      </c>
      <c r="J739" s="72"/>
      <c r="K739" s="72">
        <f>K735+K736</f>
        <v>1165489801</v>
      </c>
      <c r="Y739" s="674"/>
      <c r="Z739" s="674"/>
      <c r="AA739" s="674"/>
    </row>
    <row r="740" spans="1:27" s="238" customFormat="1" ht="15.75" customHeight="1">
      <c r="A740" s="185"/>
      <c r="B740" s="186" t="s">
        <v>941</v>
      </c>
      <c r="C740" s="186"/>
      <c r="D740" s="454"/>
      <c r="E740" s="454"/>
      <c r="F740" s="454"/>
      <c r="G740" s="454"/>
      <c r="H740" s="186"/>
      <c r="I740" s="72">
        <f>SUM(I741:I742)</f>
        <v>225571958</v>
      </c>
      <c r="J740" s="72"/>
      <c r="K740" s="72">
        <f>SUM(K741:K742)</f>
        <v>174823470.15</v>
      </c>
      <c r="L740" s="271">
        <f>I740-'[1]KQKD 1'!H27</f>
        <v>164830654</v>
      </c>
      <c r="M740" s="457">
        <f>K740-'[1]KQKD 1'!J27</f>
        <v>-1126612025.85</v>
      </c>
      <c r="Y740" s="674"/>
      <c r="Z740" s="674"/>
      <c r="AA740" s="674"/>
    </row>
    <row r="741" spans="1:27" s="224" customFormat="1" ht="15.75" customHeight="1">
      <c r="A741" s="223"/>
      <c r="B741" s="232"/>
      <c r="C741" s="388" t="s">
        <v>942</v>
      </c>
      <c r="D741" s="389"/>
      <c r="E741" s="389"/>
      <c r="F741" s="389"/>
      <c r="G741" s="389"/>
      <c r="H741" s="232"/>
      <c r="I741" s="258">
        <v>225571958</v>
      </c>
      <c r="J741" s="258"/>
      <c r="K741" s="258">
        <v>174823470.15</v>
      </c>
      <c r="M741" s="458"/>
      <c r="Y741" s="672"/>
      <c r="Z741" s="672"/>
      <c r="AA741" s="672"/>
    </row>
    <row r="742" spans="1:27" s="224" customFormat="1" ht="15.75" customHeight="1" thickBot="1">
      <c r="A742" s="223"/>
      <c r="B742" s="232"/>
      <c r="C742" s="388" t="s">
        <v>943</v>
      </c>
      <c r="D742" s="389"/>
      <c r="E742" s="389"/>
      <c r="F742" s="389"/>
      <c r="G742" s="389"/>
      <c r="H742" s="232"/>
      <c r="I742" s="459"/>
      <c r="J742" s="258"/>
      <c r="K742" s="459"/>
      <c r="L742" s="277"/>
      <c r="M742" s="458"/>
      <c r="Y742" s="672"/>
      <c r="Z742" s="672"/>
      <c r="AA742" s="672"/>
    </row>
    <row r="743" spans="1:27" s="194" customFormat="1" ht="39.75" customHeight="1" thickTop="1">
      <c r="A743" s="201" t="s">
        <v>448</v>
      </c>
      <c r="B743" s="186" t="s">
        <v>944</v>
      </c>
      <c r="C743" s="191"/>
      <c r="D743" s="191"/>
      <c r="E743" s="191"/>
      <c r="F743" s="191"/>
      <c r="G743" s="191"/>
      <c r="H743" s="191"/>
      <c r="I743" s="431" t="s">
        <v>1057</v>
      </c>
      <c r="J743" s="432"/>
      <c r="K743" s="431" t="s">
        <v>1058</v>
      </c>
      <c r="L743" s="191"/>
      <c r="Y743" s="667"/>
      <c r="Z743" s="667"/>
      <c r="AA743" s="667"/>
    </row>
    <row r="744" spans="1:27" s="189" customFormat="1" ht="15.75" customHeight="1" hidden="1">
      <c r="A744" s="185"/>
      <c r="B744" s="226" t="s">
        <v>945</v>
      </c>
      <c r="C744" s="191"/>
      <c r="D744" s="191"/>
      <c r="E744" s="191"/>
      <c r="F744" s="191"/>
      <c r="G744" s="191"/>
      <c r="H744" s="191"/>
      <c r="I744" s="187"/>
      <c r="J744" s="192"/>
      <c r="K744" s="187"/>
      <c r="L744" s="188"/>
      <c r="Y744" s="466"/>
      <c r="Z744" s="466"/>
      <c r="AA744" s="466"/>
    </row>
    <row r="745" spans="1:27" s="189" customFormat="1" ht="15.75" customHeight="1" hidden="1">
      <c r="A745" s="202"/>
      <c r="B745" s="191" t="s">
        <v>946</v>
      </c>
      <c r="C745" s="191"/>
      <c r="D745" s="307"/>
      <c r="E745" s="307"/>
      <c r="F745" s="307"/>
      <c r="G745" s="307"/>
      <c r="H745" s="239"/>
      <c r="I745" s="192"/>
      <c r="J745" s="192"/>
      <c r="K745" s="192"/>
      <c r="L745" s="188"/>
      <c r="Y745" s="466"/>
      <c r="Z745" s="466"/>
      <c r="AA745" s="466"/>
    </row>
    <row r="746" spans="1:27" s="189" customFormat="1" ht="15.75" customHeight="1">
      <c r="A746" s="202"/>
      <c r="B746" s="226" t="s">
        <v>947</v>
      </c>
      <c r="C746" s="191"/>
      <c r="D746" s="307"/>
      <c r="E746" s="307"/>
      <c r="F746" s="307"/>
      <c r="G746" s="307"/>
      <c r="H746" s="239"/>
      <c r="I746" s="184"/>
      <c r="J746" s="192"/>
      <c r="K746" s="184"/>
      <c r="L746" s="188"/>
      <c r="Y746" s="466"/>
      <c r="Z746" s="466"/>
      <c r="AA746" s="466"/>
    </row>
    <row r="747" spans="1:27" s="189" customFormat="1" ht="15.75" customHeight="1">
      <c r="A747" s="202"/>
      <c r="B747" s="191" t="s">
        <v>948</v>
      </c>
      <c r="C747" s="191"/>
      <c r="D747" s="307"/>
      <c r="E747" s="307"/>
      <c r="F747" s="307"/>
      <c r="G747" s="307"/>
      <c r="H747" s="239"/>
      <c r="I747" s="184"/>
      <c r="J747" s="192"/>
      <c r="K747" s="192">
        <v>0</v>
      </c>
      <c r="L747" s="188"/>
      <c r="Y747" s="466"/>
      <c r="Z747" s="466"/>
      <c r="AA747" s="466"/>
    </row>
    <row r="748" spans="1:27" s="189" customFormat="1" ht="15.75" customHeight="1">
      <c r="A748" s="202"/>
      <c r="B748" s="226" t="s">
        <v>945</v>
      </c>
      <c r="C748" s="191"/>
      <c r="D748" s="307"/>
      <c r="E748" s="307"/>
      <c r="F748" s="307"/>
      <c r="G748" s="307"/>
      <c r="H748" s="239"/>
      <c r="I748" s="184"/>
      <c r="J748" s="184"/>
      <c r="K748" s="184"/>
      <c r="L748" s="188"/>
      <c r="Y748" s="466"/>
      <c r="Z748" s="466"/>
      <c r="AA748" s="466"/>
    </row>
    <row r="749" spans="1:27" s="189" customFormat="1" ht="15.75" customHeight="1">
      <c r="A749" s="202"/>
      <c r="B749" s="191" t="s">
        <v>949</v>
      </c>
      <c r="C749" s="307"/>
      <c r="D749" s="307"/>
      <c r="E749" s="307"/>
      <c r="F749" s="307"/>
      <c r="G749" s="307"/>
      <c r="H749" s="239"/>
      <c r="I749" s="184"/>
      <c r="J749" s="184"/>
      <c r="K749" s="184">
        <v>0</v>
      </c>
      <c r="L749" s="188"/>
      <c r="Y749" s="466"/>
      <c r="Z749" s="466"/>
      <c r="AA749" s="466"/>
    </row>
    <row r="750" spans="1:27" s="189" customFormat="1" ht="15.75" customHeight="1" hidden="1">
      <c r="A750" s="202"/>
      <c r="B750" s="226" t="s">
        <v>950</v>
      </c>
      <c r="C750" s="307"/>
      <c r="D750" s="307"/>
      <c r="E750" s="307"/>
      <c r="F750" s="307"/>
      <c r="G750" s="307"/>
      <c r="H750" s="239"/>
      <c r="I750" s="184"/>
      <c r="J750" s="184"/>
      <c r="K750" s="184"/>
      <c r="L750" s="188" t="s">
        <v>587</v>
      </c>
      <c r="Y750" s="466"/>
      <c r="Z750" s="466"/>
      <c r="AA750" s="466"/>
    </row>
    <row r="751" spans="1:27" s="189" customFormat="1" ht="15.75" customHeight="1" hidden="1">
      <c r="A751" s="202"/>
      <c r="B751" s="191" t="s">
        <v>951</v>
      </c>
      <c r="C751" s="307"/>
      <c r="D751" s="307"/>
      <c r="E751" s="307"/>
      <c r="F751" s="307"/>
      <c r="G751" s="307"/>
      <c r="H751" s="239"/>
      <c r="I751" s="184"/>
      <c r="J751" s="184"/>
      <c r="K751" s="184"/>
      <c r="L751" s="188"/>
      <c r="Y751" s="466"/>
      <c r="Z751" s="466"/>
      <c r="AA751" s="466"/>
    </row>
    <row r="752" spans="1:27" s="189" customFormat="1" ht="15.75" customHeight="1" hidden="1">
      <c r="A752" s="202"/>
      <c r="B752" s="226" t="s">
        <v>950</v>
      </c>
      <c r="C752" s="307"/>
      <c r="D752" s="307"/>
      <c r="E752" s="307"/>
      <c r="F752" s="307"/>
      <c r="G752" s="307"/>
      <c r="H752" s="239"/>
      <c r="I752" s="184"/>
      <c r="J752" s="184"/>
      <c r="K752" s="184"/>
      <c r="L752" s="188" t="s">
        <v>587</v>
      </c>
      <c r="Y752" s="466"/>
      <c r="Z752" s="466"/>
      <c r="AA752" s="466"/>
    </row>
    <row r="753" spans="1:27" s="189" customFormat="1" ht="15.75" customHeight="1" hidden="1">
      <c r="A753" s="202"/>
      <c r="B753" s="191" t="s">
        <v>952</v>
      </c>
      <c r="C753" s="307"/>
      <c r="D753" s="307"/>
      <c r="E753" s="307"/>
      <c r="F753" s="307"/>
      <c r="G753" s="307"/>
      <c r="H753" s="239"/>
      <c r="I753" s="184"/>
      <c r="J753" s="184"/>
      <c r="K753" s="184"/>
      <c r="L753" s="188"/>
      <c r="Y753" s="466"/>
      <c r="Z753" s="466"/>
      <c r="AA753" s="466"/>
    </row>
    <row r="754" spans="1:27" s="189" customFormat="1" ht="19.5" customHeight="1" thickBot="1">
      <c r="A754" s="185"/>
      <c r="B754" s="186"/>
      <c r="C754" s="186" t="s">
        <v>953</v>
      </c>
      <c r="D754" s="186"/>
      <c r="E754" s="186"/>
      <c r="F754" s="186"/>
      <c r="G754" s="186"/>
      <c r="H754" s="186"/>
      <c r="I754" s="254">
        <f>SUM(I744:I753)</f>
        <v>0</v>
      </c>
      <c r="J754" s="72"/>
      <c r="K754" s="254">
        <f>SUM(K744:K753)</f>
        <v>0</v>
      </c>
      <c r="L754" s="271">
        <f>I754-'[1]KQKD 1'!H28</f>
        <v>0</v>
      </c>
      <c r="M754" s="457">
        <f>K754-'[1]KQKD 1'!J28</f>
        <v>38327778</v>
      </c>
      <c r="Y754" s="466"/>
      <c r="Z754" s="466"/>
      <c r="AA754" s="466"/>
    </row>
    <row r="755" spans="1:28" s="194" customFormat="1" ht="39.75" customHeight="1" thickTop="1">
      <c r="A755" s="201" t="s">
        <v>455</v>
      </c>
      <c r="B755" s="186" t="s">
        <v>954</v>
      </c>
      <c r="C755" s="191"/>
      <c r="D755" s="191"/>
      <c r="E755" s="191"/>
      <c r="F755" s="191"/>
      <c r="G755" s="191"/>
      <c r="H755" s="191"/>
      <c r="I755" s="431" t="s">
        <v>1057</v>
      </c>
      <c r="J755" s="432"/>
      <c r="K755" s="431" t="s">
        <v>1058</v>
      </c>
      <c r="L755" s="278" t="s">
        <v>955</v>
      </c>
      <c r="M755" s="460" t="s">
        <v>956</v>
      </c>
      <c r="N755" s="460" t="s">
        <v>957</v>
      </c>
      <c r="O755" s="460" t="s">
        <v>229</v>
      </c>
      <c r="X755" s="696" t="s">
        <v>1073</v>
      </c>
      <c r="Y755" s="697" t="s">
        <v>1042</v>
      </c>
      <c r="Z755" s="697" t="s">
        <v>1074</v>
      </c>
      <c r="AA755" s="697" t="s">
        <v>1075</v>
      </c>
      <c r="AB755" s="696"/>
    </row>
    <row r="756" spans="1:28" s="189" customFormat="1" ht="15.75" customHeight="1">
      <c r="A756" s="202"/>
      <c r="B756" s="191" t="s">
        <v>170</v>
      </c>
      <c r="C756" s="191"/>
      <c r="D756" s="191"/>
      <c r="E756" s="191"/>
      <c r="F756" s="191"/>
      <c r="G756" s="191"/>
      <c r="H756" s="191"/>
      <c r="I756" s="461">
        <f>SUM(X756:AA756)</f>
        <v>21146996667</v>
      </c>
      <c r="J756" s="461"/>
      <c r="K756" s="663">
        <f>37745593501*1.5</f>
        <v>56618390251.5</v>
      </c>
      <c r="L756" s="462">
        <f>62435.76*20828</f>
        <v>1300412009.28</v>
      </c>
      <c r="M756" s="462"/>
      <c r="N756" s="462">
        <v>89960309372</v>
      </c>
      <c r="O756" s="463">
        <f>SUM(L756:N756)</f>
        <v>91260721381.28</v>
      </c>
      <c r="Q756" s="455"/>
      <c r="X756" s="698">
        <v>171200592</v>
      </c>
      <c r="Y756" s="699">
        <v>408846845</v>
      </c>
      <c r="Z756" s="699"/>
      <c r="AA756" s="699">
        <v>20566949230</v>
      </c>
      <c r="AB756" s="700"/>
    </row>
    <row r="757" spans="1:28" s="189" customFormat="1" ht="15.75" customHeight="1">
      <c r="A757" s="202"/>
      <c r="B757" s="191" t="s">
        <v>171</v>
      </c>
      <c r="C757" s="191"/>
      <c r="D757" s="191"/>
      <c r="E757" s="191"/>
      <c r="F757" s="191"/>
      <c r="G757" s="191"/>
      <c r="H757" s="191"/>
      <c r="I757" s="461">
        <f>SUM(X757:AA757)</f>
        <v>1127482258</v>
      </c>
      <c r="J757" s="184"/>
      <c r="K757" s="13">
        <v>2026000000</v>
      </c>
      <c r="L757" s="464">
        <f>43608.42*20828</f>
        <v>908276171.76</v>
      </c>
      <c r="M757" s="464">
        <f>8670.81*20828</f>
        <v>180595630.67999998</v>
      </c>
      <c r="N757" s="464">
        <v>7474824508</v>
      </c>
      <c r="O757" s="463">
        <f>SUM(L757:N757)</f>
        <v>8563696310.440001</v>
      </c>
      <c r="P757" s="465"/>
      <c r="X757" s="698">
        <v>266788911</v>
      </c>
      <c r="Y757" s="699">
        <v>224314475</v>
      </c>
      <c r="Z757" s="699"/>
      <c r="AA757" s="699">
        <v>636378872</v>
      </c>
      <c r="AB757" s="700"/>
    </row>
    <row r="758" spans="1:28" s="189" customFormat="1" ht="15.75" customHeight="1">
      <c r="A758" s="202"/>
      <c r="B758" s="191" t="s">
        <v>958</v>
      </c>
      <c r="C758" s="191"/>
      <c r="D758" s="191"/>
      <c r="E758" s="191"/>
      <c r="F758" s="191"/>
      <c r="G758" s="191"/>
      <c r="H758" s="191"/>
      <c r="I758" s="461">
        <f>SUM(X758:AA758)</f>
        <v>1663473990</v>
      </c>
      <c r="J758" s="184"/>
      <c r="K758" s="13">
        <v>465973022</v>
      </c>
      <c r="L758" s="464">
        <f>113958*20828</f>
        <v>2373517224</v>
      </c>
      <c r="M758" s="464">
        <f>1284*20828</f>
        <v>26743152</v>
      </c>
      <c r="N758" s="464">
        <v>200903544</v>
      </c>
      <c r="O758" s="463">
        <f>SUM(L758:N758)</f>
        <v>2601163920</v>
      </c>
      <c r="P758" s="465"/>
      <c r="X758" s="698">
        <v>173785288</v>
      </c>
      <c r="Y758" s="699">
        <v>1216191900</v>
      </c>
      <c r="Z758" s="699"/>
      <c r="AA758" s="699">
        <f>23891427+40533924+209071451</f>
        <v>273496802</v>
      </c>
      <c r="AB758" s="700"/>
    </row>
    <row r="759" spans="1:28" s="189" customFormat="1" ht="15.75" customHeight="1">
      <c r="A759" s="202"/>
      <c r="B759" s="191" t="s">
        <v>172</v>
      </c>
      <c r="C759" s="191"/>
      <c r="D759" s="191"/>
      <c r="E759" s="191"/>
      <c r="F759" s="191"/>
      <c r="G759" s="191"/>
      <c r="H759" s="191"/>
      <c r="I759" s="461">
        <f>SUM(X759:AA759)</f>
        <v>3291610091</v>
      </c>
      <c r="J759" s="184"/>
      <c r="K759" s="13">
        <v>8987046072</v>
      </c>
      <c r="L759" s="464">
        <f>27642.29*20828</f>
        <v>575733616.12</v>
      </c>
      <c r="M759" s="464">
        <f>4197.68*20828</f>
        <v>87429279.04</v>
      </c>
      <c r="N759" s="464">
        <v>6251274847</v>
      </c>
      <c r="O759" s="463">
        <f>SUM(L759:N759)</f>
        <v>6914437742.16</v>
      </c>
      <c r="P759" s="465"/>
      <c r="X759" s="698">
        <v>212303519</v>
      </c>
      <c r="Y759" s="699">
        <v>125851022</v>
      </c>
      <c r="Z759" s="699"/>
      <c r="AA759" s="699">
        <f>112714135+2226169220+614572195</f>
        <v>2953455550</v>
      </c>
      <c r="AB759" s="700"/>
    </row>
    <row r="760" spans="1:28" s="189" customFormat="1" ht="15.75" customHeight="1">
      <c r="A760" s="202"/>
      <c r="B760" s="191" t="s">
        <v>959</v>
      </c>
      <c r="C760" s="191"/>
      <c r="D760" s="191"/>
      <c r="E760" s="191"/>
      <c r="F760" s="191"/>
      <c r="G760" s="191"/>
      <c r="H760" s="191"/>
      <c r="I760" s="461">
        <f>SUM(X760:AA760)</f>
        <v>16464534255</v>
      </c>
      <c r="J760" s="184"/>
      <c r="K760" s="13">
        <v>6368750950</v>
      </c>
      <c r="L760" s="464">
        <f>81639.28*20828</f>
        <v>1700382923.84</v>
      </c>
      <c r="M760" s="464">
        <f>31079.15*20828</f>
        <v>647316536.2</v>
      </c>
      <c r="N760" s="464">
        <v>276444161</v>
      </c>
      <c r="O760" s="463">
        <f>SUM(L760:N760)</f>
        <v>2624143621.04</v>
      </c>
      <c r="P760" s="465"/>
      <c r="X760" s="698">
        <v>26453940</v>
      </c>
      <c r="Y760" s="699">
        <v>341574552</v>
      </c>
      <c r="Z760" s="699"/>
      <c r="AA760" s="699">
        <v>16096505763</v>
      </c>
      <c r="AB760" s="700"/>
    </row>
    <row r="761" spans="1:27" s="189" customFormat="1" ht="19.5" customHeight="1" thickBot="1">
      <c r="A761" s="185"/>
      <c r="B761" s="186"/>
      <c r="C761" s="186" t="s">
        <v>150</v>
      </c>
      <c r="D761" s="186"/>
      <c r="E761" s="186"/>
      <c r="F761" s="186"/>
      <c r="G761" s="186"/>
      <c r="H761" s="186"/>
      <c r="I761" s="254">
        <f>SUM(I756:I760)</f>
        <v>43694097261</v>
      </c>
      <c r="J761" s="72"/>
      <c r="K761" s="254">
        <f>SUM(K756:K760)</f>
        <v>74466160295.5</v>
      </c>
      <c r="L761" s="466"/>
      <c r="Y761" s="466"/>
      <c r="Z761" s="466"/>
      <c r="AA761" s="466"/>
    </row>
    <row r="762" spans="1:27" s="189" customFormat="1" ht="19.5" customHeight="1" thickTop="1">
      <c r="A762" s="185"/>
      <c r="B762" s="186"/>
      <c r="C762" s="186"/>
      <c r="D762" s="186"/>
      <c r="E762" s="186"/>
      <c r="F762" s="186"/>
      <c r="G762" s="186"/>
      <c r="H762" s="186"/>
      <c r="I762" s="72"/>
      <c r="J762" s="72"/>
      <c r="K762" s="72"/>
      <c r="L762" s="466"/>
      <c r="Y762" s="466"/>
      <c r="Z762" s="466"/>
      <c r="AA762" s="466"/>
    </row>
    <row r="763" spans="1:27" s="194" customFormat="1" ht="39.75" customHeight="1">
      <c r="A763" s="201" t="s">
        <v>458</v>
      </c>
      <c r="B763" s="186" t="s">
        <v>173</v>
      </c>
      <c r="C763" s="191"/>
      <c r="D763" s="191"/>
      <c r="E763" s="191"/>
      <c r="F763" s="191"/>
      <c r="G763" s="191"/>
      <c r="H763" s="191"/>
      <c r="I763" s="431" t="s">
        <v>1057</v>
      </c>
      <c r="J763" s="432"/>
      <c r="K763" s="431" t="s">
        <v>1058</v>
      </c>
      <c r="L763" s="191"/>
      <c r="Y763" s="667"/>
      <c r="Z763" s="667"/>
      <c r="AA763" s="667"/>
    </row>
    <row r="764" spans="1:27" s="189" customFormat="1" ht="15.75" customHeight="1">
      <c r="A764" s="236"/>
      <c r="B764" s="186" t="s">
        <v>960</v>
      </c>
      <c r="C764" s="186"/>
      <c r="D764" s="454"/>
      <c r="E764" s="454"/>
      <c r="F764" s="454"/>
      <c r="G764" s="454"/>
      <c r="H764" s="195"/>
      <c r="I764" s="72">
        <v>-1162392137</v>
      </c>
      <c r="J764" s="72"/>
      <c r="K764" s="72">
        <v>990666330.85</v>
      </c>
      <c r="L764" s="188"/>
      <c r="Y764" s="466"/>
      <c r="Z764" s="466"/>
      <c r="AA764" s="466"/>
    </row>
    <row r="765" spans="1:27" s="189" customFormat="1" ht="19.5" customHeight="1">
      <c r="A765" s="185"/>
      <c r="B765" s="240" t="s">
        <v>36</v>
      </c>
      <c r="C765" s="240"/>
      <c r="D765" s="240"/>
      <c r="E765" s="240"/>
      <c r="F765" s="240"/>
      <c r="G765" s="240"/>
      <c r="H765" s="454"/>
      <c r="I765" s="72"/>
      <c r="J765" s="72"/>
      <c r="K765" s="72"/>
      <c r="L765" s="188"/>
      <c r="Y765" s="466"/>
      <c r="Z765" s="466"/>
      <c r="AA765" s="466"/>
    </row>
    <row r="766" spans="1:27" s="189" customFormat="1" ht="15.75" customHeight="1" hidden="1">
      <c r="A766" s="223"/>
      <c r="B766" s="232" t="s">
        <v>961</v>
      </c>
      <c r="C766" s="232"/>
      <c r="D766" s="389"/>
      <c r="E766" s="389"/>
      <c r="F766" s="389"/>
      <c r="G766" s="389"/>
      <c r="H766" s="232"/>
      <c r="I766" s="184"/>
      <c r="J766" s="184"/>
      <c r="K766" s="184"/>
      <c r="L766" s="188"/>
      <c r="Y766" s="466"/>
      <c r="Z766" s="466"/>
      <c r="AA766" s="466"/>
    </row>
    <row r="767" spans="1:27" s="189" customFormat="1" ht="15.75" customHeight="1" hidden="1">
      <c r="A767" s="223"/>
      <c r="B767" s="232" t="s">
        <v>939</v>
      </c>
      <c r="C767" s="232"/>
      <c r="D767" s="389"/>
      <c r="E767" s="389"/>
      <c r="F767" s="389"/>
      <c r="G767" s="389"/>
      <c r="H767" s="232"/>
      <c r="I767" s="258"/>
      <c r="J767" s="258"/>
      <c r="K767" s="258"/>
      <c r="L767" s="188"/>
      <c r="Y767" s="466"/>
      <c r="Z767" s="466"/>
      <c r="AA767" s="466"/>
    </row>
    <row r="768" spans="1:27" s="189" customFormat="1" ht="32.25" customHeight="1">
      <c r="A768" s="185"/>
      <c r="B768" s="786" t="s">
        <v>962</v>
      </c>
      <c r="C768" s="786"/>
      <c r="D768" s="786"/>
      <c r="E768" s="786"/>
      <c r="F768" s="402"/>
      <c r="G768" s="402"/>
      <c r="H768" s="454"/>
      <c r="I768" s="72">
        <f>I764+I765</f>
        <v>-1162392137</v>
      </c>
      <c r="J768" s="72"/>
      <c r="K768" s="72">
        <f>K764+K765</f>
        <v>990666330.85</v>
      </c>
      <c r="L768" s="188"/>
      <c r="Y768" s="466"/>
      <c r="Z768" s="466"/>
      <c r="AA768" s="466"/>
    </row>
    <row r="769" spans="1:27" s="189" customFormat="1" ht="15.75" customHeight="1">
      <c r="A769" s="236"/>
      <c r="B769" s="191" t="s">
        <v>963</v>
      </c>
      <c r="C769" s="191"/>
      <c r="D769" s="239"/>
      <c r="E769" s="239"/>
      <c r="F769" s="239"/>
      <c r="G769" s="239"/>
      <c r="H769" s="195"/>
      <c r="I769" s="184"/>
      <c r="J769" s="184"/>
      <c r="K769" s="184"/>
      <c r="L769" s="188"/>
      <c r="Y769" s="466"/>
      <c r="Z769" s="466"/>
      <c r="AA769" s="466"/>
    </row>
    <row r="770" spans="1:27" s="238" customFormat="1" ht="15.75" customHeight="1" thickBot="1">
      <c r="A770" s="236"/>
      <c r="B770" s="240" t="s">
        <v>173</v>
      </c>
      <c r="C770" s="240"/>
      <c r="D770" s="240"/>
      <c r="E770" s="240"/>
      <c r="F770" s="240"/>
      <c r="G770" s="240"/>
      <c r="H770" s="195"/>
      <c r="I770" s="467"/>
      <c r="J770" s="72"/>
      <c r="K770" s="467"/>
      <c r="Y770" s="674"/>
      <c r="Z770" s="674"/>
      <c r="AA770" s="674"/>
    </row>
    <row r="771" spans="1:27" s="189" customFormat="1" ht="30" customHeight="1" hidden="1">
      <c r="A771" s="468" t="s">
        <v>964</v>
      </c>
      <c r="B771" s="443"/>
      <c r="C771" s="443"/>
      <c r="D771" s="443"/>
      <c r="E771" s="443"/>
      <c r="F771" s="443"/>
      <c r="G771" s="443"/>
      <c r="H771" s="443"/>
      <c r="I771" s="444"/>
      <c r="J771" s="444"/>
      <c r="K771" s="444"/>
      <c r="L771" s="188"/>
      <c r="Y771" s="466"/>
      <c r="Z771" s="466"/>
      <c r="AA771" s="466"/>
    </row>
    <row r="772" spans="1:27" s="189" customFormat="1" ht="34.5" customHeight="1" hidden="1">
      <c r="A772" s="436" t="s">
        <v>965</v>
      </c>
      <c r="B772" s="787" t="s">
        <v>966</v>
      </c>
      <c r="C772" s="787"/>
      <c r="D772" s="787"/>
      <c r="E772" s="787"/>
      <c r="F772" s="787"/>
      <c r="G772" s="787"/>
      <c r="H772" s="787"/>
      <c r="I772" s="787"/>
      <c r="J772" s="787"/>
      <c r="K772" s="787"/>
      <c r="L772" s="188"/>
      <c r="Y772" s="466"/>
      <c r="Z772" s="466"/>
      <c r="AA772" s="466"/>
    </row>
    <row r="773" spans="1:27" s="189" customFormat="1" ht="34.5" customHeight="1" hidden="1">
      <c r="A773" s="437"/>
      <c r="B773" s="761" t="s">
        <v>967</v>
      </c>
      <c r="C773" s="761"/>
      <c r="D773" s="761"/>
      <c r="E773" s="761"/>
      <c r="F773" s="761"/>
      <c r="G773" s="761"/>
      <c r="H773" s="761"/>
      <c r="I773" s="761"/>
      <c r="J773" s="761"/>
      <c r="K773" s="761"/>
      <c r="L773" s="188"/>
      <c r="Y773" s="466"/>
      <c r="Z773" s="466"/>
      <c r="AA773" s="466"/>
    </row>
    <row r="774" spans="1:27" s="189" customFormat="1" ht="19.5" customHeight="1" hidden="1">
      <c r="A774" s="438"/>
      <c r="B774" s="761" t="s">
        <v>968</v>
      </c>
      <c r="C774" s="761"/>
      <c r="D774" s="761"/>
      <c r="E774" s="761"/>
      <c r="F774" s="761"/>
      <c r="G774" s="761"/>
      <c r="H774" s="761"/>
      <c r="I774" s="761"/>
      <c r="J774" s="761"/>
      <c r="K774" s="761"/>
      <c r="L774" s="188"/>
      <c r="Y774" s="466"/>
      <c r="Z774" s="466"/>
      <c r="AA774" s="466"/>
    </row>
    <row r="775" spans="1:27" s="189" customFormat="1" ht="48" customHeight="1" hidden="1">
      <c r="A775" s="437"/>
      <c r="B775" s="761" t="s">
        <v>969</v>
      </c>
      <c r="C775" s="761"/>
      <c r="D775" s="761"/>
      <c r="E775" s="761"/>
      <c r="F775" s="761"/>
      <c r="G775" s="761"/>
      <c r="H775" s="761"/>
      <c r="I775" s="761"/>
      <c r="J775" s="761"/>
      <c r="K775" s="761"/>
      <c r="L775" s="188"/>
      <c r="Y775" s="466"/>
      <c r="Z775" s="466"/>
      <c r="AA775" s="466"/>
    </row>
    <row r="776" spans="1:27" s="189" customFormat="1" ht="48" customHeight="1" thickTop="1">
      <c r="A776" s="437"/>
      <c r="B776" s="677"/>
      <c r="C776" s="677"/>
      <c r="D776" s="677"/>
      <c r="E776" s="677"/>
      <c r="F776" s="677"/>
      <c r="G776" s="677"/>
      <c r="H776" s="677"/>
      <c r="I776" s="677"/>
      <c r="J776" s="677"/>
      <c r="K776" s="677"/>
      <c r="L776" s="188"/>
      <c r="Y776" s="466"/>
      <c r="Z776" s="466"/>
      <c r="AA776" s="466"/>
    </row>
    <row r="777" spans="1:27" s="189" customFormat="1" ht="27" customHeight="1">
      <c r="A777" s="282" t="s">
        <v>970</v>
      </c>
      <c r="B777" s="186"/>
      <c r="C777" s="186"/>
      <c r="D777" s="186"/>
      <c r="E777" s="186"/>
      <c r="F777" s="186"/>
      <c r="G777" s="186"/>
      <c r="H777" s="186"/>
      <c r="I777" s="187"/>
      <c r="J777" s="187"/>
      <c r="K777" s="187"/>
      <c r="L777" s="188"/>
      <c r="Y777" s="466"/>
      <c r="Z777" s="466"/>
      <c r="AA777" s="466"/>
    </row>
    <row r="778" spans="1:27" s="189" customFormat="1" ht="25.5" customHeight="1" hidden="1">
      <c r="A778" s="201" t="s">
        <v>202</v>
      </c>
      <c r="B778" s="186" t="s">
        <v>971</v>
      </c>
      <c r="C778" s="191"/>
      <c r="D778" s="191"/>
      <c r="E778" s="191"/>
      <c r="F778" s="191"/>
      <c r="G778" s="191"/>
      <c r="H778" s="191"/>
      <c r="I778" s="192"/>
      <c r="J778" s="192"/>
      <c r="K778" s="192"/>
      <c r="L778" s="188"/>
      <c r="Y778" s="466"/>
      <c r="Z778" s="466"/>
      <c r="AA778" s="466"/>
    </row>
    <row r="779" spans="1:27" s="189" customFormat="1" ht="25.5" customHeight="1" hidden="1">
      <c r="A779" s="201" t="s">
        <v>205</v>
      </c>
      <c r="B779" s="282" t="s">
        <v>972</v>
      </c>
      <c r="C779" s="191"/>
      <c r="D779" s="264"/>
      <c r="E779" s="191"/>
      <c r="F779" s="191"/>
      <c r="G779" s="191"/>
      <c r="H779" s="191"/>
      <c r="I779" s="192"/>
      <c r="J779" s="192"/>
      <c r="K779" s="192"/>
      <c r="L779" s="188"/>
      <c r="Y779" s="466"/>
      <c r="Z779" s="466"/>
      <c r="AA779" s="466"/>
    </row>
    <row r="780" spans="1:27" s="189" customFormat="1" ht="18" customHeight="1">
      <c r="A780" s="201" t="s">
        <v>202</v>
      </c>
      <c r="B780" s="282" t="s">
        <v>973</v>
      </c>
      <c r="C780" s="264"/>
      <c r="D780" s="264"/>
      <c r="E780" s="264"/>
      <c r="F780" s="264"/>
      <c r="G780" s="264"/>
      <c r="H780" s="264"/>
      <c r="I780" s="192"/>
      <c r="J780" s="192"/>
      <c r="K780" s="192"/>
      <c r="L780" s="188"/>
      <c r="Y780" s="466"/>
      <c r="Z780" s="466"/>
      <c r="AA780" s="466"/>
    </row>
    <row r="781" spans="1:27" s="188" customFormat="1" ht="30.75" customHeight="1">
      <c r="A781" s="236"/>
      <c r="B781" s="220" t="s">
        <v>37</v>
      </c>
      <c r="C781" s="242"/>
      <c r="D781" s="346"/>
      <c r="E781" s="401" t="s">
        <v>974</v>
      </c>
      <c r="F781" s="346"/>
      <c r="G781" s="401" t="s">
        <v>975</v>
      </c>
      <c r="H781" s="242"/>
      <c r="I781" s="469" t="s">
        <v>976</v>
      </c>
      <c r="J781" s="308"/>
      <c r="K781" s="469" t="s">
        <v>977</v>
      </c>
      <c r="Y781" s="466"/>
      <c r="Z781" s="466"/>
      <c r="AA781" s="466"/>
    </row>
    <row r="782" spans="1:27" s="189" customFormat="1" ht="15.75" customHeight="1">
      <c r="A782" s="202"/>
      <c r="B782" s="189" t="s">
        <v>978</v>
      </c>
      <c r="C782" s="242"/>
      <c r="D782" s="346"/>
      <c r="E782" s="470" t="s">
        <v>979</v>
      </c>
      <c r="F782" s="471"/>
      <c r="G782" s="470" t="s">
        <v>980</v>
      </c>
      <c r="H782" s="472"/>
      <c r="I782" s="473">
        <v>735236181</v>
      </c>
      <c r="J782" s="474"/>
      <c r="K782" s="473">
        <f>52929119261+I782</f>
        <v>53664355442</v>
      </c>
      <c r="L782" s="466"/>
      <c r="Y782" s="466"/>
      <c r="Z782" s="466"/>
      <c r="AA782" s="466"/>
    </row>
    <row r="783" spans="1:27" s="189" customFormat="1" ht="15.75" customHeight="1">
      <c r="A783" s="202"/>
      <c r="B783" s="189" t="s">
        <v>981</v>
      </c>
      <c r="C783" s="242"/>
      <c r="D783" s="346"/>
      <c r="E783" s="470"/>
      <c r="F783" s="471"/>
      <c r="G783" s="470" t="s">
        <v>984</v>
      </c>
      <c r="I783" s="189">
        <v>218277440</v>
      </c>
      <c r="K783" s="189">
        <f>I783</f>
        <v>218277440</v>
      </c>
      <c r="L783" s="466"/>
      <c r="Y783" s="466"/>
      <c r="Z783" s="466"/>
      <c r="AA783" s="466"/>
    </row>
    <row r="784" spans="1:27" s="189" customFormat="1" ht="15.75" customHeight="1">
      <c r="A784" s="202"/>
      <c r="B784" s="189" t="s">
        <v>982</v>
      </c>
      <c r="C784" s="242"/>
      <c r="D784" s="349"/>
      <c r="E784" s="470" t="s">
        <v>983</v>
      </c>
      <c r="F784" s="475"/>
      <c r="G784" s="470" t="s">
        <v>980</v>
      </c>
      <c r="I784" s="473">
        <v>0</v>
      </c>
      <c r="J784" s="251"/>
      <c r="K784" s="473">
        <v>14260484215</v>
      </c>
      <c r="L784" s="466"/>
      <c r="Y784" s="466"/>
      <c r="Z784" s="466"/>
      <c r="AA784" s="466"/>
    </row>
    <row r="785" spans="1:27" s="189" customFormat="1" ht="15.75" customHeight="1">
      <c r="A785" s="202"/>
      <c r="C785" s="242"/>
      <c r="D785" s="349"/>
      <c r="E785" s="470"/>
      <c r="F785" s="475"/>
      <c r="G785" s="470" t="s">
        <v>984</v>
      </c>
      <c r="H785" s="472"/>
      <c r="I785" s="473">
        <v>0</v>
      </c>
      <c r="J785" s="251"/>
      <c r="K785" s="678">
        <v>2752657639.2</v>
      </c>
      <c r="L785" s="466"/>
      <c r="Y785" s="466"/>
      <c r="Z785" s="466"/>
      <c r="AA785" s="466"/>
    </row>
    <row r="786" spans="1:27" s="189" customFormat="1" ht="15.75" customHeight="1">
      <c r="A786" s="202"/>
      <c r="B786" s="189" t="s">
        <v>985</v>
      </c>
      <c r="C786" s="242"/>
      <c r="D786" s="349"/>
      <c r="E786" s="476"/>
      <c r="F786" s="475"/>
      <c r="G786" s="470" t="s">
        <v>986</v>
      </c>
      <c r="H786" s="472"/>
      <c r="I786" s="473"/>
      <c r="J786" s="251"/>
      <c r="K786" s="473"/>
      <c r="L786" s="466"/>
      <c r="Y786" s="466"/>
      <c r="Z786" s="466"/>
      <c r="AA786" s="466"/>
    </row>
    <row r="787" spans="1:27" s="189" customFormat="1" ht="15.75" customHeight="1" hidden="1">
      <c r="A787" s="202"/>
      <c r="C787" s="242"/>
      <c r="D787" s="349"/>
      <c r="E787" s="476"/>
      <c r="F787" s="475"/>
      <c r="G787" s="470" t="s">
        <v>21</v>
      </c>
      <c r="H787" s="472"/>
      <c r="I787" s="473"/>
      <c r="J787" s="251"/>
      <c r="K787" s="473"/>
      <c r="L787" s="466"/>
      <c r="Y787" s="466"/>
      <c r="Z787" s="466"/>
      <c r="AA787" s="466"/>
    </row>
    <row r="788" spans="1:27" s="189" customFormat="1" ht="15.75" customHeight="1">
      <c r="A788" s="202"/>
      <c r="B788" s="189" t="s">
        <v>987</v>
      </c>
      <c r="C788" s="242"/>
      <c r="D788" s="349"/>
      <c r="E788" s="476"/>
      <c r="F788" s="475"/>
      <c r="G788" s="470" t="s">
        <v>988</v>
      </c>
      <c r="H788" s="472"/>
      <c r="I788" s="473"/>
      <c r="J788" s="251"/>
      <c r="K788" s="473">
        <v>0</v>
      </c>
      <c r="L788" s="466"/>
      <c r="Y788" s="466"/>
      <c r="Z788" s="466"/>
      <c r="AA788" s="466"/>
    </row>
    <row r="789" spans="1:27" s="189" customFormat="1" ht="15.75" customHeight="1">
      <c r="A789" s="202"/>
      <c r="C789" s="242"/>
      <c r="D789" s="349"/>
      <c r="E789" s="476"/>
      <c r="F789" s="475"/>
      <c r="G789" s="470" t="s">
        <v>104</v>
      </c>
      <c r="H789" s="472"/>
      <c r="I789" s="473"/>
      <c r="J789" s="251"/>
      <c r="K789" s="473">
        <v>0</v>
      </c>
      <c r="L789" s="466"/>
      <c r="Y789" s="466"/>
      <c r="Z789" s="466"/>
      <c r="AA789" s="466"/>
    </row>
    <row r="790" spans="1:27" s="189" customFormat="1" ht="15">
      <c r="A790" s="202"/>
      <c r="B790" s="189" t="s">
        <v>989</v>
      </c>
      <c r="C790" s="242"/>
      <c r="D790" s="349"/>
      <c r="E790" s="476" t="s">
        <v>979</v>
      </c>
      <c r="F790" s="475"/>
      <c r="G790" s="470" t="s">
        <v>984</v>
      </c>
      <c r="H790" s="472"/>
      <c r="I790" s="473"/>
      <c r="J790" s="251"/>
      <c r="K790" s="473">
        <v>0</v>
      </c>
      <c r="L790" s="466"/>
      <c r="Y790" s="466"/>
      <c r="Z790" s="466"/>
      <c r="AA790" s="466"/>
    </row>
    <row r="791" spans="1:27" s="189" customFormat="1" ht="15" customHeight="1" thickBot="1">
      <c r="A791" s="201"/>
      <c r="B791" s="477"/>
      <c r="C791" s="478"/>
      <c r="D791" s="479"/>
      <c r="E791" s="480"/>
      <c r="F791" s="481"/>
      <c r="G791" s="480" t="s">
        <v>980</v>
      </c>
      <c r="H791" s="482"/>
      <c r="I791" s="682">
        <v>-65842678</v>
      </c>
      <c r="J791" s="683"/>
      <c r="K791" s="682">
        <v>2376157322</v>
      </c>
      <c r="L791" s="188"/>
      <c r="Y791" s="466"/>
      <c r="Z791" s="466"/>
      <c r="AA791" s="466"/>
    </row>
    <row r="792" spans="1:27" s="189" customFormat="1" ht="47.25" customHeight="1" hidden="1">
      <c r="A792" s="236"/>
      <c r="B792" s="756" t="s">
        <v>990</v>
      </c>
      <c r="C792" s="756"/>
      <c r="D792" s="756"/>
      <c r="E792" s="756"/>
      <c r="F792" s="756"/>
      <c r="G792" s="756"/>
      <c r="H792" s="756"/>
      <c r="I792" s="756"/>
      <c r="J792" s="756"/>
      <c r="K792" s="756"/>
      <c r="L792" s="188"/>
      <c r="Y792" s="466"/>
      <c r="Z792" s="466"/>
      <c r="AA792" s="466"/>
    </row>
    <row r="793" spans="1:27" s="189" customFormat="1" ht="45" customHeight="1" hidden="1">
      <c r="A793" s="236"/>
      <c r="B793" s="756" t="s">
        <v>991</v>
      </c>
      <c r="C793" s="756"/>
      <c r="D793" s="756"/>
      <c r="E793" s="756"/>
      <c r="F793" s="756"/>
      <c r="G793" s="756"/>
      <c r="H793" s="756"/>
      <c r="I793" s="756"/>
      <c r="J793" s="756"/>
      <c r="K793" s="756"/>
      <c r="L793" s="188" t="s">
        <v>992</v>
      </c>
      <c r="Y793" s="466"/>
      <c r="Z793" s="466"/>
      <c r="AA793" s="466"/>
    </row>
    <row r="794" spans="1:27" s="189" customFormat="1" ht="15.75" customHeight="1" hidden="1">
      <c r="A794" s="236"/>
      <c r="B794" s="242"/>
      <c r="C794" s="349"/>
      <c r="D794" s="349"/>
      <c r="E794" s="242"/>
      <c r="F794" s="349"/>
      <c r="G794" s="460" t="s">
        <v>993</v>
      </c>
      <c r="H794" s="349"/>
      <c r="I794" s="460" t="s">
        <v>994</v>
      </c>
      <c r="J794" s="299"/>
      <c r="K794" s="460" t="s">
        <v>995</v>
      </c>
      <c r="L794" s="188"/>
      <c r="Y794" s="466"/>
      <c r="Z794" s="466"/>
      <c r="AA794" s="466"/>
    </row>
    <row r="795" spans="1:27" s="189" customFormat="1" ht="15.75" customHeight="1" hidden="1">
      <c r="A795" s="236"/>
      <c r="B795" s="319" t="s">
        <v>996</v>
      </c>
      <c r="C795" s="349"/>
      <c r="D795" s="349"/>
      <c r="E795" s="242"/>
      <c r="F795" s="349"/>
      <c r="G795" s="349"/>
      <c r="H795" s="242"/>
      <c r="I795" s="192"/>
      <c r="J795" s="192"/>
      <c r="K795" s="192"/>
      <c r="L795" s="188"/>
      <c r="Y795" s="466"/>
      <c r="Z795" s="466"/>
      <c r="AA795" s="466"/>
    </row>
    <row r="796" spans="1:27" s="189" customFormat="1" ht="15.75" customHeight="1" hidden="1">
      <c r="A796" s="236"/>
      <c r="B796" s="189" t="s">
        <v>87</v>
      </c>
      <c r="C796" s="349"/>
      <c r="D796" s="349"/>
      <c r="E796" s="242"/>
      <c r="F796" s="349"/>
      <c r="G796" s="349"/>
      <c r="H796" s="242"/>
      <c r="I796" s="192"/>
      <c r="J796" s="192"/>
      <c r="K796" s="192">
        <f>G796-I796</f>
        <v>0</v>
      </c>
      <c r="L796" s="188"/>
      <c r="Y796" s="466"/>
      <c r="Z796" s="466"/>
      <c r="AA796" s="466"/>
    </row>
    <row r="797" spans="1:27" s="189" customFormat="1" ht="15.75" customHeight="1" hidden="1">
      <c r="A797" s="236"/>
      <c r="B797" s="242"/>
      <c r="C797" s="349"/>
      <c r="D797" s="349"/>
      <c r="E797" s="242"/>
      <c r="F797" s="349"/>
      <c r="G797" s="349"/>
      <c r="H797" s="242"/>
      <c r="I797" s="192"/>
      <c r="J797" s="192"/>
      <c r="K797" s="192"/>
      <c r="L797" s="188"/>
      <c r="Y797" s="466"/>
      <c r="Z797" s="466"/>
      <c r="AA797" s="466"/>
    </row>
    <row r="798" spans="1:27" s="189" customFormat="1" ht="15.75" customHeight="1" hidden="1">
      <c r="A798" s="236"/>
      <c r="B798" s="319" t="s">
        <v>997</v>
      </c>
      <c r="E798" s="242"/>
      <c r="F798" s="349"/>
      <c r="G798" s="349"/>
      <c r="H798" s="242"/>
      <c r="I798" s="192"/>
      <c r="J798" s="192"/>
      <c r="K798" s="192"/>
      <c r="L798" s="188"/>
      <c r="Y798" s="466"/>
      <c r="Z798" s="466"/>
      <c r="AA798" s="466"/>
    </row>
    <row r="799" spans="1:27" s="189" customFormat="1" ht="15.75" customHeight="1" hidden="1">
      <c r="A799" s="236"/>
      <c r="B799" s="189" t="s">
        <v>998</v>
      </c>
      <c r="E799" s="242"/>
      <c r="F799" s="349"/>
      <c r="G799" s="349"/>
      <c r="H799" s="242"/>
      <c r="I799" s="192"/>
      <c r="J799" s="192"/>
      <c r="K799" s="192">
        <f>G799-I799</f>
        <v>0</v>
      </c>
      <c r="L799" s="188"/>
      <c r="Y799" s="466"/>
      <c r="Z799" s="466"/>
      <c r="AA799" s="466"/>
    </row>
    <row r="800" spans="1:27" s="189" customFormat="1" ht="15.75" customHeight="1" hidden="1">
      <c r="A800" s="236"/>
      <c r="B800" s="189" t="s">
        <v>999</v>
      </c>
      <c r="E800" s="242"/>
      <c r="F800" s="349"/>
      <c r="G800" s="349"/>
      <c r="H800" s="242"/>
      <c r="I800" s="192"/>
      <c r="J800" s="192"/>
      <c r="K800" s="192">
        <f>G800-I800</f>
        <v>0</v>
      </c>
      <c r="L800" s="188"/>
      <c r="Y800" s="466"/>
      <c r="Z800" s="466"/>
      <c r="AA800" s="466"/>
    </row>
    <row r="801" spans="1:27" s="189" customFormat="1" ht="28.5" customHeight="1" hidden="1">
      <c r="A801" s="236"/>
      <c r="B801" s="790" t="s">
        <v>1000</v>
      </c>
      <c r="C801" s="790"/>
      <c r="D801" s="790"/>
      <c r="E801" s="242"/>
      <c r="F801" s="349"/>
      <c r="G801" s="349">
        <f>G799-G800</f>
        <v>0</v>
      </c>
      <c r="H801" s="242"/>
      <c r="I801" s="192">
        <f>I799-I800</f>
        <v>0</v>
      </c>
      <c r="J801" s="192"/>
      <c r="K801" s="192">
        <f>G801-I801</f>
        <v>0</v>
      </c>
      <c r="L801" s="188"/>
      <c r="Y801" s="466"/>
      <c r="Z801" s="466"/>
      <c r="AA801" s="466"/>
    </row>
    <row r="802" spans="1:27" s="189" customFormat="1" ht="15.75" customHeight="1" hidden="1">
      <c r="A802" s="236"/>
      <c r="B802" s="790"/>
      <c r="C802" s="790"/>
      <c r="D802" s="790"/>
      <c r="E802" s="242"/>
      <c r="F802" s="349"/>
      <c r="G802" s="349"/>
      <c r="H802" s="242"/>
      <c r="I802" s="192"/>
      <c r="J802" s="192"/>
      <c r="K802" s="192"/>
      <c r="L802" s="188"/>
      <c r="Y802" s="466"/>
      <c r="Z802" s="466"/>
      <c r="AA802" s="466"/>
    </row>
    <row r="803" spans="1:27" s="189" customFormat="1" ht="29.25" customHeight="1" thickTop="1">
      <c r="A803" s="201" t="s">
        <v>205</v>
      </c>
      <c r="B803" s="282" t="s">
        <v>1001</v>
      </c>
      <c r="C803" s="264"/>
      <c r="D803" s="264"/>
      <c r="E803" s="264"/>
      <c r="F803" s="264"/>
      <c r="G803" s="264"/>
      <c r="H803" s="264"/>
      <c r="I803" s="192"/>
      <c r="J803" s="192"/>
      <c r="K803" s="192"/>
      <c r="L803" s="188"/>
      <c r="Y803" s="466"/>
      <c r="Z803" s="466"/>
      <c r="AA803" s="466"/>
    </row>
    <row r="804" spans="1:27" s="225" customFormat="1" ht="34.5" customHeight="1">
      <c r="A804" s="233"/>
      <c r="B804" s="768" t="s">
        <v>1002</v>
      </c>
      <c r="C804" s="768"/>
      <c r="D804" s="768"/>
      <c r="E804" s="768"/>
      <c r="F804" s="768"/>
      <c r="G804" s="768"/>
      <c r="H804" s="768"/>
      <c r="I804" s="768"/>
      <c r="J804" s="768"/>
      <c r="K804" s="768"/>
      <c r="L804" s="224"/>
      <c r="Y804" s="672"/>
      <c r="Z804" s="672"/>
      <c r="AA804" s="672"/>
    </row>
    <row r="805" spans="1:27" s="189" customFormat="1" ht="19.5" customHeight="1">
      <c r="A805" s="201"/>
      <c r="B805" s="282" t="s">
        <v>178</v>
      </c>
      <c r="C805" s="264"/>
      <c r="D805" s="264"/>
      <c r="E805" s="264"/>
      <c r="F805" s="264"/>
      <c r="G805" s="264"/>
      <c r="H805" s="264"/>
      <c r="I805" s="192"/>
      <c r="J805" s="192"/>
      <c r="K805" s="192"/>
      <c r="L805" s="188"/>
      <c r="Y805" s="466"/>
      <c r="Z805" s="466"/>
      <c r="AA805" s="466"/>
    </row>
    <row r="806" spans="1:27" s="189" customFormat="1" ht="19.5" customHeight="1">
      <c r="A806" s="201"/>
      <c r="B806" s="282"/>
      <c r="C806" s="264" t="s">
        <v>1003</v>
      </c>
      <c r="D806" s="264"/>
      <c r="E806" s="264"/>
      <c r="F806" s="264"/>
      <c r="G806" s="264"/>
      <c r="H806" s="264"/>
      <c r="I806" s="192"/>
      <c r="J806" s="192"/>
      <c r="K806" s="192"/>
      <c r="L806" s="188"/>
      <c r="Y806" s="466"/>
      <c r="Z806" s="466"/>
      <c r="AA806" s="466"/>
    </row>
    <row r="807" spans="1:27" s="189" customFormat="1" ht="19.5" customHeight="1">
      <c r="A807" s="201"/>
      <c r="B807" s="282"/>
      <c r="C807" s="264" t="s">
        <v>1071</v>
      </c>
      <c r="D807" s="264"/>
      <c r="E807" s="264"/>
      <c r="F807" s="264"/>
      <c r="G807" s="264"/>
      <c r="H807" s="264"/>
      <c r="I807" s="192"/>
      <c r="J807" s="192"/>
      <c r="K807" s="192"/>
      <c r="L807" s="188"/>
      <c r="Y807" s="466"/>
      <c r="Z807" s="466"/>
      <c r="AA807" s="466"/>
    </row>
    <row r="808" spans="1:27" s="189" customFormat="1" ht="19.5" customHeight="1">
      <c r="A808" s="201"/>
      <c r="B808" s="282" t="s">
        <v>179</v>
      </c>
      <c r="C808" s="264"/>
      <c r="D808" s="264"/>
      <c r="E808" s="264"/>
      <c r="F808" s="264"/>
      <c r="G808" s="264"/>
      <c r="H808" s="264"/>
      <c r="I808" s="192"/>
      <c r="J808" s="192"/>
      <c r="K808" s="192"/>
      <c r="L808" s="188"/>
      <c r="Y808" s="466"/>
      <c r="Z808" s="466"/>
      <c r="AA808" s="466"/>
    </row>
    <row r="809" spans="1:27" s="189" customFormat="1" ht="19.5" customHeight="1">
      <c r="A809" s="201"/>
      <c r="B809" s="282"/>
      <c r="C809" s="264" t="s">
        <v>1004</v>
      </c>
      <c r="D809" s="264"/>
      <c r="E809" s="264"/>
      <c r="F809" s="264"/>
      <c r="G809" s="264"/>
      <c r="H809" s="264"/>
      <c r="I809" s="192"/>
      <c r="J809" s="192"/>
      <c r="K809" s="192"/>
      <c r="L809" s="188"/>
      <c r="Y809" s="466"/>
      <c r="Z809" s="466"/>
      <c r="AA809" s="466"/>
    </row>
    <row r="810" spans="1:27" s="189" customFormat="1" ht="19.5" customHeight="1">
      <c r="A810" s="201"/>
      <c r="B810" s="282"/>
      <c r="C810" s="264" t="s">
        <v>1005</v>
      </c>
      <c r="D810" s="264"/>
      <c r="E810" s="264"/>
      <c r="F810" s="264"/>
      <c r="G810" s="264"/>
      <c r="H810" s="264"/>
      <c r="I810" s="192"/>
      <c r="J810" s="192"/>
      <c r="K810" s="192"/>
      <c r="L810" s="188"/>
      <c r="Y810" s="466"/>
      <c r="Z810" s="466"/>
      <c r="AA810" s="466"/>
    </row>
    <row r="811" spans="1:27" s="189" customFormat="1" ht="35.25" customHeight="1">
      <c r="A811" s="201"/>
      <c r="B811" s="742" t="s">
        <v>1006</v>
      </c>
      <c r="C811" s="742"/>
      <c r="D811" s="742"/>
      <c r="E811" s="742"/>
      <c r="F811" s="742"/>
      <c r="G811" s="742"/>
      <c r="H811" s="742"/>
      <c r="I811" s="742"/>
      <c r="J811" s="742"/>
      <c r="K811" s="742"/>
      <c r="L811" s="188"/>
      <c r="Y811" s="466"/>
      <c r="Z811" s="466"/>
      <c r="AA811" s="466"/>
    </row>
    <row r="812" spans="1:27" s="189" customFormat="1" ht="19.5" customHeight="1">
      <c r="A812" s="201"/>
      <c r="B812" s="282"/>
      <c r="C812" s="264"/>
      <c r="D812" s="264"/>
      <c r="E812" s="264"/>
      <c r="F812" s="264"/>
      <c r="G812" s="264"/>
      <c r="H812" s="264"/>
      <c r="I812" s="192"/>
      <c r="J812" s="192"/>
      <c r="K812" s="192"/>
      <c r="L812" s="188"/>
      <c r="Y812" s="466"/>
      <c r="Z812" s="466"/>
      <c r="AA812" s="466"/>
    </row>
    <row r="813" spans="1:27" s="189" customFormat="1" ht="15.75" customHeight="1">
      <c r="A813" s="483"/>
      <c r="B813" s="484"/>
      <c r="C813" s="485"/>
      <c r="D813" s="486"/>
      <c r="E813" s="487"/>
      <c r="F813" s="488"/>
      <c r="G813" s="483"/>
      <c r="H813" s="159"/>
      <c r="I813" s="192"/>
      <c r="J813" s="192"/>
      <c r="K813" s="192"/>
      <c r="L813" s="188"/>
      <c r="Y813" s="466"/>
      <c r="Z813" s="466"/>
      <c r="AA813" s="466"/>
    </row>
    <row r="814" spans="1:27" s="189" customFormat="1" ht="15.75" customHeight="1">
      <c r="A814" s="202"/>
      <c r="B814" s="219"/>
      <c r="C814" s="219"/>
      <c r="D814" s="219"/>
      <c r="E814" s="219"/>
      <c r="F814" s="219"/>
      <c r="G814" s="737" t="s">
        <v>1076</v>
      </c>
      <c r="H814" s="737"/>
      <c r="I814" s="737"/>
      <c r="J814" s="737"/>
      <c r="K814" s="737"/>
      <c r="L814" s="737"/>
      <c r="M814" s="737"/>
      <c r="Y814" s="466"/>
      <c r="Z814" s="466"/>
      <c r="AA814" s="466"/>
    </row>
    <row r="815" spans="1:27" s="189" customFormat="1" ht="15.75" customHeight="1">
      <c r="A815" s="483"/>
      <c r="B815" s="489"/>
      <c r="C815" s="348" t="str">
        <f>'[1]TTC'!A19</f>
        <v>Kế toán trưởng</v>
      </c>
      <c r="D815" s="490"/>
      <c r="E815" s="489"/>
      <c r="F815" s="489"/>
      <c r="G815" s="489"/>
      <c r="H815" s="789" t="str">
        <f>'[1]TTC'!A18</f>
        <v>Tổng Giám đốc</v>
      </c>
      <c r="I815" s="789"/>
      <c r="J815" s="789"/>
      <c r="K815" s="789"/>
      <c r="L815" s="188"/>
      <c r="Y815" s="466"/>
      <c r="Z815" s="466"/>
      <c r="AA815" s="466"/>
    </row>
    <row r="816" spans="1:27" s="189" customFormat="1" ht="15.75" customHeight="1">
      <c r="A816" s="483"/>
      <c r="B816" s="491"/>
      <c r="C816" s="485"/>
      <c r="D816" s="492"/>
      <c r="E816" s="493"/>
      <c r="F816" s="494"/>
      <c r="G816" s="483"/>
      <c r="H816" s="159"/>
      <c r="I816" s="192"/>
      <c r="J816" s="192"/>
      <c r="K816" s="192"/>
      <c r="L816" s="188"/>
      <c r="Y816" s="466"/>
      <c r="Z816" s="466"/>
      <c r="AA816" s="466"/>
    </row>
    <row r="817" spans="1:27" s="189" customFormat="1" ht="15.75" customHeight="1">
      <c r="A817" s="483"/>
      <c r="B817" s="484"/>
      <c r="C817" s="485"/>
      <c r="D817" s="486"/>
      <c r="E817" s="487"/>
      <c r="F817" s="488"/>
      <c r="G817" s="483"/>
      <c r="H817" s="159"/>
      <c r="I817" s="192"/>
      <c r="J817" s="192"/>
      <c r="K817" s="192"/>
      <c r="L817" s="188"/>
      <c r="Y817" s="466"/>
      <c r="Z817" s="466"/>
      <c r="AA817" s="466"/>
    </row>
    <row r="818" spans="1:27" s="189" customFormat="1" ht="15.75" customHeight="1">
      <c r="A818" s="483"/>
      <c r="B818" s="484"/>
      <c r="C818" s="485"/>
      <c r="D818" s="486"/>
      <c r="E818" s="487"/>
      <c r="F818" s="488"/>
      <c r="G818" s="483"/>
      <c r="H818" s="159"/>
      <c r="I818" s="192"/>
      <c r="J818" s="192"/>
      <c r="K818" s="192"/>
      <c r="L818" s="188"/>
      <c r="Y818" s="466"/>
      <c r="Z818" s="466"/>
      <c r="AA818" s="466"/>
    </row>
    <row r="819" spans="1:27" s="189" customFormat="1" ht="15.75" customHeight="1">
      <c r="A819" s="483"/>
      <c r="B819" s="484"/>
      <c r="C819" s="485"/>
      <c r="D819" s="486"/>
      <c r="E819" s="487"/>
      <c r="F819" s="488"/>
      <c r="G819" s="483"/>
      <c r="H819" s="159"/>
      <c r="I819" s="192"/>
      <c r="J819" s="192"/>
      <c r="K819" s="192"/>
      <c r="L819" s="188"/>
      <c r="Y819" s="466"/>
      <c r="Z819" s="466"/>
      <c r="AA819" s="466"/>
    </row>
    <row r="820" spans="1:27" s="189" customFormat="1" ht="15.75" customHeight="1">
      <c r="A820" s="483"/>
      <c r="B820" s="484"/>
      <c r="C820" s="485"/>
      <c r="D820" s="486"/>
      <c r="E820" s="487"/>
      <c r="F820" s="488"/>
      <c r="G820" s="483"/>
      <c r="H820" s="159"/>
      <c r="I820" s="192"/>
      <c r="J820" s="192"/>
      <c r="K820" s="192"/>
      <c r="L820" s="188"/>
      <c r="Y820" s="466"/>
      <c r="Z820" s="466"/>
      <c r="AA820" s="466"/>
    </row>
    <row r="821" spans="1:27" s="188" customFormat="1" ht="15.75" customHeight="1">
      <c r="A821" s="483"/>
      <c r="B821" s="495"/>
      <c r="C821" s="496"/>
      <c r="D821" s="497"/>
      <c r="E821" s="489"/>
      <c r="F821" s="489"/>
      <c r="G821" s="489"/>
      <c r="H821" s="498"/>
      <c r="I821" s="789" t="str">
        <f>'[1]TTC'!D18</f>
        <v>Đặng Đình Hưng</v>
      </c>
      <c r="J821" s="789"/>
      <c r="K821" s="789"/>
      <c r="Y821" s="466"/>
      <c r="Z821" s="466"/>
      <c r="AA821" s="466"/>
    </row>
    <row r="822" ht="19.5" customHeight="1">
      <c r="C822" s="499"/>
    </row>
  </sheetData>
  <sheetProtection/>
  <mergeCells count="203">
    <mergeCell ref="B119:K119"/>
    <mergeCell ref="H815:K815"/>
    <mergeCell ref="I821:K821"/>
    <mergeCell ref="G814:M814"/>
    <mergeCell ref="B775:K775"/>
    <mergeCell ref="B792:K792"/>
    <mergeCell ref="B793:K793"/>
    <mergeCell ref="B801:D802"/>
    <mergeCell ref="B804:K804"/>
    <mergeCell ref="B811:K811"/>
    <mergeCell ref="A662:K662"/>
    <mergeCell ref="B736:G736"/>
    <mergeCell ref="B768:E768"/>
    <mergeCell ref="B772:K772"/>
    <mergeCell ref="B773:K773"/>
    <mergeCell ref="B774:K774"/>
    <mergeCell ref="B465:C465"/>
    <mergeCell ref="B468:K468"/>
    <mergeCell ref="B556:K556"/>
    <mergeCell ref="B642:K642"/>
    <mergeCell ref="B643:K643"/>
    <mergeCell ref="B644:K644"/>
    <mergeCell ref="B454:C454"/>
    <mergeCell ref="E454:G454"/>
    <mergeCell ref="B455:C455"/>
    <mergeCell ref="E455:G455"/>
    <mergeCell ref="B456:C456"/>
    <mergeCell ref="E456:G456"/>
    <mergeCell ref="B404:K404"/>
    <mergeCell ref="B405:K405"/>
    <mergeCell ref="B406:K406"/>
    <mergeCell ref="B448:K448"/>
    <mergeCell ref="B449:K449"/>
    <mergeCell ref="E453:G453"/>
    <mergeCell ref="B249:K249"/>
    <mergeCell ref="A251:K251"/>
    <mergeCell ref="E265:G265"/>
    <mergeCell ref="I265:K265"/>
    <mergeCell ref="B271:C271"/>
    <mergeCell ref="B302:K302"/>
    <mergeCell ref="B243:K243"/>
    <mergeCell ref="B244:K244"/>
    <mergeCell ref="B245:K245"/>
    <mergeCell ref="B246:K246"/>
    <mergeCell ref="B247:K247"/>
    <mergeCell ref="B248:K248"/>
    <mergeCell ref="B236:K236"/>
    <mergeCell ref="B237:K237"/>
    <mergeCell ref="B238:K238"/>
    <mergeCell ref="B240:K240"/>
    <mergeCell ref="B241:K241"/>
    <mergeCell ref="B242:K242"/>
    <mergeCell ref="I229:K229"/>
    <mergeCell ref="C230:K230"/>
    <mergeCell ref="B232:K232"/>
    <mergeCell ref="B233:K233"/>
    <mergeCell ref="B234:K234"/>
    <mergeCell ref="B235:K235"/>
    <mergeCell ref="B223:K223"/>
    <mergeCell ref="B224:K224"/>
    <mergeCell ref="B225:K225"/>
    <mergeCell ref="E227:G227"/>
    <mergeCell ref="I227:K227"/>
    <mergeCell ref="E228:G228"/>
    <mergeCell ref="I228:K228"/>
    <mergeCell ref="E218:G218"/>
    <mergeCell ref="I218:K218"/>
    <mergeCell ref="E219:G219"/>
    <mergeCell ref="I219:K219"/>
    <mergeCell ref="E220:G220"/>
    <mergeCell ref="C221:K221"/>
    <mergeCell ref="B210:K210"/>
    <mergeCell ref="B211:K211"/>
    <mergeCell ref="B212:K212"/>
    <mergeCell ref="B214:K214"/>
    <mergeCell ref="B215:K215"/>
    <mergeCell ref="B216:K216"/>
    <mergeCell ref="B203:K203"/>
    <mergeCell ref="B204:K204"/>
    <mergeCell ref="B205:K205"/>
    <mergeCell ref="B206:K206"/>
    <mergeCell ref="B207:K207"/>
    <mergeCell ref="B208:K208"/>
    <mergeCell ref="B195:K195"/>
    <mergeCell ref="B197:K197"/>
    <mergeCell ref="B198:K198"/>
    <mergeCell ref="B200:K200"/>
    <mergeCell ref="B201:K201"/>
    <mergeCell ref="B202:K202"/>
    <mergeCell ref="B188:K188"/>
    <mergeCell ref="B190:K190"/>
    <mergeCell ref="B191:K191"/>
    <mergeCell ref="B192:K192"/>
    <mergeCell ref="B193:K193"/>
    <mergeCell ref="B194:K194"/>
    <mergeCell ref="B181:K181"/>
    <mergeCell ref="B183:K183"/>
    <mergeCell ref="B184:K184"/>
    <mergeCell ref="B185:K185"/>
    <mergeCell ref="B186:K186"/>
    <mergeCell ref="B187:K187"/>
    <mergeCell ref="B168:K168"/>
    <mergeCell ref="B170:K170"/>
    <mergeCell ref="B173:K173"/>
    <mergeCell ref="B174:K174"/>
    <mergeCell ref="B177:K177"/>
    <mergeCell ref="B180:K180"/>
    <mergeCell ref="B158:K158"/>
    <mergeCell ref="B161:K161"/>
    <mergeCell ref="B162:K162"/>
    <mergeCell ref="B163:K163"/>
    <mergeCell ref="B165:K165"/>
    <mergeCell ref="B166:K166"/>
    <mergeCell ref="B149:K149"/>
    <mergeCell ref="B151:K151"/>
    <mergeCell ref="B152:K152"/>
    <mergeCell ref="B153:K153"/>
    <mergeCell ref="B155:K155"/>
    <mergeCell ref="B157:K157"/>
    <mergeCell ref="B140:K140"/>
    <mergeCell ref="B141:K141"/>
    <mergeCell ref="B144:K144"/>
    <mergeCell ref="B145:K145"/>
    <mergeCell ref="B146:K146"/>
    <mergeCell ref="B148:K148"/>
    <mergeCell ref="B129:K129"/>
    <mergeCell ref="B130:K130"/>
    <mergeCell ref="B131:K131"/>
    <mergeCell ref="B137:K137"/>
    <mergeCell ref="B138:K138"/>
    <mergeCell ref="B139:K139"/>
    <mergeCell ref="B122:K122"/>
    <mergeCell ref="B123:K123"/>
    <mergeCell ref="B125:K125"/>
    <mergeCell ref="B126:K126"/>
    <mergeCell ref="B127:K127"/>
    <mergeCell ref="B128:K128"/>
    <mergeCell ref="B107:K107"/>
    <mergeCell ref="B108:K108"/>
    <mergeCell ref="B109:K109"/>
    <mergeCell ref="B110:K110"/>
    <mergeCell ref="B111:K111"/>
    <mergeCell ref="B112:K112"/>
    <mergeCell ref="B101:K101"/>
    <mergeCell ref="B102:K102"/>
    <mergeCell ref="B103:K103"/>
    <mergeCell ref="B104:K104"/>
    <mergeCell ref="B105:K105"/>
    <mergeCell ref="B106:K106"/>
    <mergeCell ref="B95:K95"/>
    <mergeCell ref="B96:K96"/>
    <mergeCell ref="B97:K97"/>
    <mergeCell ref="B98:K98"/>
    <mergeCell ref="B99:K99"/>
    <mergeCell ref="B100:K100"/>
    <mergeCell ref="B88:K88"/>
    <mergeCell ref="B90:K90"/>
    <mergeCell ref="B91:K91"/>
    <mergeCell ref="B92:K92"/>
    <mergeCell ref="B93:K93"/>
    <mergeCell ref="B94:K94"/>
    <mergeCell ref="B82:K82"/>
    <mergeCell ref="B83:K83"/>
    <mergeCell ref="B84:K84"/>
    <mergeCell ref="B85:K85"/>
    <mergeCell ref="B86:K86"/>
    <mergeCell ref="B87:K87"/>
    <mergeCell ref="B76:K76"/>
    <mergeCell ref="B77:K77"/>
    <mergeCell ref="B78:K78"/>
    <mergeCell ref="B79:K79"/>
    <mergeCell ref="B80:K80"/>
    <mergeCell ref="B81:K81"/>
    <mergeCell ref="B64:K64"/>
    <mergeCell ref="B67:K67"/>
    <mergeCell ref="B69:K69"/>
    <mergeCell ref="B72:K72"/>
    <mergeCell ref="B74:K74"/>
    <mergeCell ref="B75:K75"/>
    <mergeCell ref="B56:K56"/>
    <mergeCell ref="B58:K58"/>
    <mergeCell ref="B60:K60"/>
    <mergeCell ref="B61:K61"/>
    <mergeCell ref="B62:K62"/>
    <mergeCell ref="B63:K63"/>
    <mergeCell ref="B41:K41"/>
    <mergeCell ref="B43:K43"/>
    <mergeCell ref="B44:K44"/>
    <mergeCell ref="B49:K49"/>
    <mergeCell ref="B53:K53"/>
    <mergeCell ref="B55:K55"/>
    <mergeCell ref="C20:K20"/>
    <mergeCell ref="C21:K21"/>
    <mergeCell ref="C22:K22"/>
    <mergeCell ref="B24:K24"/>
    <mergeCell ref="B29:K29"/>
    <mergeCell ref="B32:K32"/>
    <mergeCell ref="B8:K8"/>
    <mergeCell ref="B10:K10"/>
    <mergeCell ref="C14:K14"/>
    <mergeCell ref="C15:K15"/>
    <mergeCell ref="C16:K16"/>
    <mergeCell ref="C19:K19"/>
  </mergeCells>
  <printOptions/>
  <pageMargins left="0.44" right="0.18" top="0.49" bottom="0.35" header="0.27" footer="0.2"/>
  <pageSetup horizontalDpi="600" verticalDpi="600" orientation="portrait" paperSize="9" r:id="rId3"/>
  <headerFooter alignWithMargins="0">
    <oddFooter>&amp;CPage &amp;P</oddFooter>
    <evenFooter>&amp;C[Pages]&amp;6</evenFooter>
  </headerFooter>
  <legacyDrawing r:id="rId2"/>
</worksheet>
</file>

<file path=xl/worksheets/sheet6.xml><?xml version="1.0" encoding="utf-8"?>
<worksheet xmlns="http://schemas.openxmlformats.org/spreadsheetml/2006/main" xmlns:r="http://schemas.openxmlformats.org/officeDocument/2006/relationships">
  <sheetPr>
    <tabColor rgb="FFFF0000"/>
  </sheetPr>
  <dimension ref="A1:IQ42"/>
  <sheetViews>
    <sheetView zoomScalePageLayoutView="0" workbookViewId="0" topLeftCell="A5">
      <selection activeCell="M37" sqref="M37"/>
    </sheetView>
  </sheetViews>
  <sheetFormatPr defaultColWidth="9.00390625" defaultRowHeight="12.75"/>
  <cols>
    <col min="1" max="1" width="3.375" style="74" customWidth="1"/>
    <col min="2" max="2" width="1.875" style="74" customWidth="1"/>
    <col min="3" max="3" width="29.00390625" style="74" customWidth="1"/>
    <col min="4" max="4" width="0.875" style="74" customWidth="1"/>
    <col min="5" max="5" width="20.25390625" style="74" customWidth="1"/>
    <col min="6" max="6" width="0.875" style="74" customWidth="1"/>
    <col min="7" max="7" width="20.875" style="74" customWidth="1"/>
    <col min="8" max="8" width="0.74609375" style="74" customWidth="1"/>
    <col min="9" max="9" width="20.75390625" style="74" customWidth="1"/>
    <col min="10" max="10" width="0.875" style="74" customWidth="1"/>
    <col min="11" max="11" width="19.25390625" style="74" customWidth="1"/>
    <col min="12" max="12" width="0.875" style="74" customWidth="1"/>
    <col min="13" max="13" width="18.25390625" style="74" customWidth="1"/>
    <col min="14" max="14" width="17.375" style="74" customWidth="1"/>
    <col min="15" max="15" width="18.125" style="74" customWidth="1"/>
    <col min="16" max="16" width="0.6171875" style="74" customWidth="1"/>
    <col min="17" max="17" width="19.00390625" style="74" customWidth="1"/>
    <col min="18" max="18" width="0.74609375" style="74" customWidth="1"/>
    <col min="19" max="19" width="16.25390625" style="74" bestFit="1" customWidth="1"/>
    <col min="20" max="16384" width="9.125" style="74" customWidth="1"/>
  </cols>
  <sheetData>
    <row r="1" spans="1:251" ht="19.5" customHeight="1">
      <c r="A1" s="65" t="str">
        <f>'[1]TTC'!D6</f>
        <v>CÔNG TY CỔ PHẦN CHẾ TẠO MÁY DZĨ AN</v>
      </c>
      <c r="B1" s="66"/>
      <c r="C1" s="67"/>
      <c r="D1" s="67"/>
      <c r="E1" s="68"/>
      <c r="F1" s="67"/>
      <c r="G1" s="69"/>
      <c r="H1" s="67"/>
      <c r="I1" s="67"/>
      <c r="J1" s="67"/>
      <c r="K1" s="184"/>
      <c r="L1" s="184"/>
      <c r="M1" s="72" t="s">
        <v>1007</v>
      </c>
      <c r="N1" s="500"/>
      <c r="O1" s="501"/>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c r="FP1" s="67"/>
      <c r="FQ1" s="67"/>
      <c r="FR1" s="67"/>
      <c r="FS1" s="67"/>
      <c r="FT1" s="67"/>
      <c r="FU1" s="67"/>
      <c r="FV1" s="67"/>
      <c r="FW1" s="67"/>
      <c r="FX1" s="67"/>
      <c r="FY1" s="67"/>
      <c r="FZ1" s="67"/>
      <c r="GA1" s="67"/>
      <c r="GB1" s="67"/>
      <c r="GC1" s="67"/>
      <c r="GD1" s="67"/>
      <c r="GE1" s="67"/>
      <c r="GF1" s="67"/>
      <c r="GG1" s="67"/>
      <c r="GH1" s="67"/>
      <c r="GI1" s="67"/>
      <c r="GJ1" s="67"/>
      <c r="GK1" s="67"/>
      <c r="GL1" s="67"/>
      <c r="GM1" s="67"/>
      <c r="GN1" s="67"/>
      <c r="GO1" s="67"/>
      <c r="GP1" s="67"/>
      <c r="GQ1" s="67"/>
      <c r="GR1" s="67"/>
      <c r="GS1" s="67"/>
      <c r="GT1" s="67"/>
      <c r="GU1" s="67"/>
      <c r="GV1" s="67"/>
      <c r="GW1" s="67"/>
      <c r="GX1" s="67"/>
      <c r="GY1" s="67"/>
      <c r="GZ1" s="67"/>
      <c r="HA1" s="67"/>
      <c r="HB1" s="67"/>
      <c r="HC1" s="67"/>
      <c r="HD1" s="67"/>
      <c r="HE1" s="67"/>
      <c r="HF1" s="67"/>
      <c r="HG1" s="67"/>
      <c r="HH1" s="67"/>
      <c r="HI1" s="67"/>
      <c r="HJ1" s="67"/>
      <c r="HK1" s="67"/>
      <c r="HL1" s="67"/>
      <c r="HM1" s="67"/>
      <c r="HN1" s="67"/>
      <c r="HO1" s="67"/>
      <c r="HP1" s="67"/>
      <c r="HQ1" s="67"/>
      <c r="HR1" s="67"/>
      <c r="HS1" s="67"/>
      <c r="HT1" s="67"/>
      <c r="HU1" s="67"/>
      <c r="HV1" s="67"/>
      <c r="HW1" s="67"/>
      <c r="HX1" s="67"/>
      <c r="HY1" s="67"/>
      <c r="HZ1" s="67"/>
      <c r="IA1" s="67"/>
      <c r="IB1" s="67"/>
      <c r="IC1" s="67"/>
      <c r="ID1" s="67"/>
      <c r="IE1" s="67"/>
      <c r="IF1" s="67"/>
      <c r="IG1" s="67"/>
      <c r="IH1" s="67"/>
      <c r="II1" s="67"/>
      <c r="IJ1" s="67"/>
      <c r="IK1" s="67"/>
      <c r="IL1" s="67"/>
      <c r="IM1" s="67"/>
      <c r="IN1" s="67"/>
      <c r="IO1" s="67"/>
      <c r="IP1" s="67"/>
      <c r="IQ1" s="67"/>
    </row>
    <row r="2" spans="1:251" ht="9.75" customHeight="1">
      <c r="A2" s="65"/>
      <c r="B2" s="66"/>
      <c r="C2" s="67"/>
      <c r="D2" s="67"/>
      <c r="E2" s="68"/>
      <c r="F2" s="67"/>
      <c r="G2" s="69"/>
      <c r="H2" s="67"/>
      <c r="I2" s="67"/>
      <c r="J2" s="67"/>
      <c r="K2" s="184"/>
      <c r="L2" s="184"/>
      <c r="M2" s="72"/>
      <c r="N2" s="500"/>
      <c r="O2" s="501"/>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row>
    <row r="3" spans="1:15" ht="20.25" customHeight="1">
      <c r="A3" s="502" t="str">
        <f>'[1]TM'!A3</f>
        <v>THUYẾT MINH BÁO CÁO TÀI CHÍNH HỢP NHẤT</v>
      </c>
      <c r="B3" s="503"/>
      <c r="C3" s="503"/>
      <c r="D3" s="503"/>
      <c r="E3" s="503"/>
      <c r="F3" s="503"/>
      <c r="G3" s="503"/>
      <c r="H3" s="503"/>
      <c r="I3" s="503"/>
      <c r="J3" s="503"/>
      <c r="K3" s="78"/>
      <c r="L3" s="78"/>
      <c r="M3" s="504"/>
      <c r="N3" s="78"/>
      <c r="O3" s="501"/>
    </row>
    <row r="4" spans="1:15" ht="18" customHeight="1">
      <c r="A4" s="505" t="s">
        <v>1053</v>
      </c>
      <c r="B4" s="506"/>
      <c r="C4" s="506"/>
      <c r="D4" s="506"/>
      <c r="E4" s="506"/>
      <c r="F4" s="506"/>
      <c r="G4" s="506"/>
      <c r="H4" s="506"/>
      <c r="I4" s="506"/>
      <c r="J4" s="506"/>
      <c r="K4" s="180"/>
      <c r="L4" s="180"/>
      <c r="M4" s="507" t="s">
        <v>1008</v>
      </c>
      <c r="N4" s="508"/>
      <c r="O4" s="501"/>
    </row>
    <row r="6" spans="1:13" s="5" customFormat="1" ht="22.5" customHeight="1">
      <c r="A6" s="509" t="s">
        <v>258</v>
      </c>
      <c r="B6" s="510" t="s">
        <v>624</v>
      </c>
      <c r="C6" s="511"/>
      <c r="D6" s="511"/>
      <c r="E6" s="511"/>
      <c r="F6" s="511"/>
      <c r="G6" s="511"/>
      <c r="H6" s="511"/>
      <c r="I6" s="192"/>
      <c r="J6" s="192"/>
      <c r="K6" s="192"/>
      <c r="L6" s="192"/>
      <c r="M6" s="192"/>
    </row>
    <row r="7" spans="1:13" s="5" customFormat="1" ht="36.75" customHeight="1">
      <c r="A7" s="211"/>
      <c r="B7" s="512"/>
      <c r="C7" s="284" t="s">
        <v>156</v>
      </c>
      <c r="D7" s="285"/>
      <c r="E7" s="286" t="s">
        <v>1009</v>
      </c>
      <c r="F7" s="285"/>
      <c r="G7" s="286" t="s">
        <v>1010</v>
      </c>
      <c r="H7" s="213"/>
      <c r="I7" s="286" t="s">
        <v>1011</v>
      </c>
      <c r="J7" s="187"/>
      <c r="K7" s="286" t="s">
        <v>1012</v>
      </c>
      <c r="L7" s="347"/>
      <c r="M7" s="513" t="s">
        <v>626</v>
      </c>
    </row>
    <row r="8" spans="1:13" s="5" customFormat="1" ht="9" customHeight="1">
      <c r="A8" s="211"/>
      <c r="B8" s="213"/>
      <c r="C8" s="287"/>
      <c r="D8" s="287"/>
      <c r="E8" s="288"/>
      <c r="F8" s="192"/>
      <c r="G8" s="192"/>
      <c r="H8" s="288"/>
      <c r="I8" s="192"/>
      <c r="J8" s="289"/>
      <c r="K8" s="192"/>
      <c r="L8" s="192"/>
      <c r="M8" s="290"/>
    </row>
    <row r="9" spans="1:13" s="5" customFormat="1" ht="15">
      <c r="A9" s="211"/>
      <c r="B9" s="213" t="s">
        <v>628</v>
      </c>
      <c r="C9" s="287"/>
      <c r="D9" s="287"/>
      <c r="E9" s="288"/>
      <c r="F9" s="192"/>
      <c r="G9" s="192"/>
      <c r="H9" s="288"/>
      <c r="I9" s="192"/>
      <c r="J9" s="289"/>
      <c r="K9" s="192"/>
      <c r="L9" s="192"/>
      <c r="M9" s="290"/>
    </row>
    <row r="10" spans="1:14" s="319" customFormat="1" ht="14.25">
      <c r="A10" s="185"/>
      <c r="B10" s="186" t="s">
        <v>629</v>
      </c>
      <c r="C10" s="514"/>
      <c r="D10" s="514"/>
      <c r="E10" s="316">
        <v>8280712608</v>
      </c>
      <c r="F10" s="72"/>
      <c r="G10" s="72">
        <v>53374157058.92</v>
      </c>
      <c r="H10" s="316"/>
      <c r="I10" s="72">
        <v>940174893.0799999</v>
      </c>
      <c r="J10" s="318"/>
      <c r="K10" s="72">
        <v>363737665</v>
      </c>
      <c r="L10" s="72"/>
      <c r="M10" s="72">
        <f>SUM(E10:K10)</f>
        <v>62958782225</v>
      </c>
      <c r="N10" s="680">
        <f>M10-'[1]CDKT '!K52</f>
        <v>0</v>
      </c>
    </row>
    <row r="11" spans="1:16" s="5" customFormat="1" ht="15">
      <c r="A11" s="516"/>
      <c r="B11" s="517"/>
      <c r="C11" s="517" t="s">
        <v>23</v>
      </c>
      <c r="D11" s="292"/>
      <c r="E11" s="288">
        <v>4033932000</v>
      </c>
      <c r="F11" s="258"/>
      <c r="G11" s="277">
        <f>116425454+3417113404+1155742703</f>
        <v>4689281561</v>
      </c>
      <c r="H11" s="325"/>
      <c r="I11" s="258"/>
      <c r="J11" s="322"/>
      <c r="K11" s="258">
        <v>10513800</v>
      </c>
      <c r="L11" s="258"/>
      <c r="M11" s="323">
        <f aca="true" t="shared" si="0" ref="M11:M18">SUM(E11:K11)</f>
        <v>8733727361</v>
      </c>
      <c r="N11" s="300"/>
      <c r="P11" s="277"/>
    </row>
    <row r="12" spans="1:16" s="5" customFormat="1" ht="15" hidden="1">
      <c r="A12" s="516"/>
      <c r="B12" s="517"/>
      <c r="C12" s="517" t="s">
        <v>631</v>
      </c>
      <c r="D12" s="292"/>
      <c r="E12" s="325"/>
      <c r="F12" s="258"/>
      <c r="G12" s="258"/>
      <c r="H12" s="325"/>
      <c r="I12" s="258"/>
      <c r="J12" s="322"/>
      <c r="K12" s="322"/>
      <c r="L12" s="322"/>
      <c r="M12" s="323">
        <f t="shared" si="0"/>
        <v>0</v>
      </c>
      <c r="N12" s="277"/>
      <c r="O12" s="277"/>
      <c r="P12" s="277"/>
    </row>
    <row r="13" spans="1:13" s="5" customFormat="1" ht="15" hidden="1">
      <c r="A13" s="516"/>
      <c r="B13" s="517"/>
      <c r="C13" s="517" t="s">
        <v>632</v>
      </c>
      <c r="D13" s="292"/>
      <c r="E13" s="321"/>
      <c r="F13" s="321"/>
      <c r="G13" s="321"/>
      <c r="H13" s="321"/>
      <c r="I13" s="258"/>
      <c r="J13" s="322"/>
      <c r="K13" s="258"/>
      <c r="L13" s="258"/>
      <c r="M13" s="323">
        <f t="shared" si="0"/>
        <v>0</v>
      </c>
    </row>
    <row r="14" spans="1:13" s="5" customFormat="1" ht="15" hidden="1">
      <c r="A14" s="516"/>
      <c r="B14" s="517"/>
      <c r="C14" s="517" t="s">
        <v>634</v>
      </c>
      <c r="D14" s="292"/>
      <c r="E14" s="321"/>
      <c r="F14" s="321"/>
      <c r="G14" s="321"/>
      <c r="H14" s="321"/>
      <c r="I14" s="258"/>
      <c r="J14" s="322"/>
      <c r="K14" s="258"/>
      <c r="L14" s="258"/>
      <c r="M14" s="323">
        <f t="shared" si="0"/>
        <v>0</v>
      </c>
    </row>
    <row r="15" spans="1:13" s="5" customFormat="1" ht="15" hidden="1">
      <c r="A15" s="516"/>
      <c r="B15" s="517"/>
      <c r="C15" s="517" t="s">
        <v>633</v>
      </c>
      <c r="D15" s="292"/>
      <c r="E15" s="321"/>
      <c r="F15" s="321"/>
      <c r="G15" s="321"/>
      <c r="H15" s="321"/>
      <c r="I15" s="322"/>
      <c r="J15" s="322"/>
      <c r="K15" s="322"/>
      <c r="L15" s="322"/>
      <c r="M15" s="323">
        <f t="shared" si="0"/>
        <v>0</v>
      </c>
    </row>
    <row r="16" spans="1:16" s="5" customFormat="1" ht="15" hidden="1">
      <c r="A16" s="516"/>
      <c r="B16" s="517"/>
      <c r="C16" s="517" t="s">
        <v>116</v>
      </c>
      <c r="D16" s="292"/>
      <c r="E16" s="325"/>
      <c r="F16" s="258"/>
      <c r="G16" s="258"/>
      <c r="H16" s="325"/>
      <c r="I16" s="258"/>
      <c r="J16" s="322"/>
      <c r="K16" s="258"/>
      <c r="L16" s="258"/>
      <c r="M16" s="323">
        <f t="shared" si="0"/>
        <v>0</v>
      </c>
      <c r="N16" s="277"/>
      <c r="O16" s="277"/>
      <c r="P16" s="277"/>
    </row>
    <row r="17" spans="1:13" s="5" customFormat="1" ht="15" hidden="1">
      <c r="A17" s="516"/>
      <c r="B17" s="517"/>
      <c r="C17" s="518" t="s">
        <v>1013</v>
      </c>
      <c r="D17" s="292"/>
      <c r="E17" s="321"/>
      <c r="F17" s="321"/>
      <c r="G17" s="321"/>
      <c r="H17" s="321"/>
      <c r="I17" s="322"/>
      <c r="J17" s="322"/>
      <c r="K17" s="322"/>
      <c r="L17" s="322"/>
      <c r="M17" s="323">
        <f t="shared" si="0"/>
        <v>0</v>
      </c>
    </row>
    <row r="18" spans="1:17" s="5" customFormat="1" ht="15" hidden="1">
      <c r="A18" s="516"/>
      <c r="B18" s="517"/>
      <c r="C18" s="518" t="s">
        <v>632</v>
      </c>
      <c r="D18" s="292"/>
      <c r="E18" s="321"/>
      <c r="F18" s="321"/>
      <c r="G18" s="321"/>
      <c r="H18" s="321"/>
      <c r="I18" s="322"/>
      <c r="J18" s="322"/>
      <c r="K18" s="322"/>
      <c r="L18" s="322"/>
      <c r="M18" s="323">
        <f t="shared" si="0"/>
        <v>0</v>
      </c>
      <c r="N18" s="277"/>
      <c r="O18" s="277"/>
      <c r="Q18" s="57" t="s">
        <v>1014</v>
      </c>
    </row>
    <row r="19" spans="1:15" s="8" customFormat="1" ht="14.25">
      <c r="A19" s="211"/>
      <c r="B19" s="512" t="s">
        <v>24</v>
      </c>
      <c r="C19" s="519"/>
      <c r="D19" s="514"/>
      <c r="E19" s="520">
        <f>E10+E11+E12+E13-E15-E16+E17-E14+E18</f>
        <v>12314644608</v>
      </c>
      <c r="F19" s="317"/>
      <c r="G19" s="520">
        <f>G10+G11+G12+G13-G15-G16+G17-G14+G18</f>
        <v>58063438619.92</v>
      </c>
      <c r="H19" s="317"/>
      <c r="I19" s="520">
        <f>I10+I11+I12+I13-I15-I16+I17-I14+I18</f>
        <v>940174893.0799999</v>
      </c>
      <c r="J19" s="318"/>
      <c r="K19" s="520">
        <f>K10+K11+K12+K13-K15-K16+K17-K14+K18</f>
        <v>374251465</v>
      </c>
      <c r="L19" s="317"/>
      <c r="M19" s="520">
        <f>M10+M11+M12+M13-M15-M16+M17-M14+M18</f>
        <v>71692509586</v>
      </c>
      <c r="N19" s="515"/>
      <c r="O19" s="515"/>
    </row>
    <row r="20" spans="1:14" s="8" customFormat="1" ht="9.75" customHeight="1">
      <c r="A20" s="211"/>
      <c r="B20" s="521"/>
      <c r="C20" s="514"/>
      <c r="D20" s="514"/>
      <c r="E20" s="317"/>
      <c r="F20" s="317"/>
      <c r="G20" s="317"/>
      <c r="H20" s="317"/>
      <c r="I20" s="317"/>
      <c r="J20" s="318"/>
      <c r="K20" s="317"/>
      <c r="L20" s="317"/>
      <c r="M20" s="317"/>
      <c r="N20" s="515"/>
    </row>
    <row r="21" spans="1:13" s="5" customFormat="1" ht="15">
      <c r="A21" s="211"/>
      <c r="B21" s="213" t="s">
        <v>635</v>
      </c>
      <c r="C21" s="287"/>
      <c r="D21" s="287"/>
      <c r="E21" s="293"/>
      <c r="F21" s="184"/>
      <c r="G21" s="234"/>
      <c r="H21" s="70"/>
      <c r="I21" s="184"/>
      <c r="J21" s="327"/>
      <c r="K21" s="234"/>
      <c r="L21" s="184"/>
      <c r="M21" s="318"/>
    </row>
    <row r="22" spans="1:19" s="8" customFormat="1" ht="14.25">
      <c r="A22" s="211"/>
      <c r="B22" s="213" t="s">
        <v>629</v>
      </c>
      <c r="C22" s="260"/>
      <c r="D22" s="260"/>
      <c r="E22" s="316">
        <v>1517689163</v>
      </c>
      <c r="F22" s="72"/>
      <c r="G22" s="72">
        <v>5337028957</v>
      </c>
      <c r="H22" s="316"/>
      <c r="I22" s="72">
        <v>812212348</v>
      </c>
      <c r="J22" s="72"/>
      <c r="K22" s="72">
        <v>135057361</v>
      </c>
      <c r="L22" s="72"/>
      <c r="M22" s="317">
        <f aca="true" t="shared" si="1" ref="M22:M29">SUM(E22:K22)</f>
        <v>7801987829</v>
      </c>
      <c r="N22" s="14">
        <f>M22+'[1]CDKT '!K53</f>
        <v>0</v>
      </c>
      <c r="Q22" s="277"/>
      <c r="R22" s="14"/>
      <c r="S22" s="14"/>
    </row>
    <row r="23" spans="1:19" s="5" customFormat="1" ht="15">
      <c r="A23" s="516"/>
      <c r="B23" s="517"/>
      <c r="C23" s="517" t="s">
        <v>25</v>
      </c>
      <c r="D23" s="301"/>
      <c r="E23" s="522">
        <f>60514512+42832017</f>
        <v>103346529</v>
      </c>
      <c r="F23" s="277"/>
      <c r="G23" s="277">
        <f>68316930+341787480+3996969210</f>
        <v>4407073620</v>
      </c>
      <c r="H23" s="522"/>
      <c r="I23" s="277">
        <f>42417666+26231152</f>
        <v>68648818</v>
      </c>
      <c r="J23" s="321"/>
      <c r="K23" s="321">
        <f>5498592+26743152+657114</f>
        <v>32898858</v>
      </c>
      <c r="L23" s="258"/>
      <c r="M23" s="323">
        <f t="shared" si="1"/>
        <v>4611967825</v>
      </c>
      <c r="N23" s="277"/>
      <c r="O23" s="523"/>
      <c r="P23" s="524"/>
      <c r="Q23" s="523">
        <f>97284*20828</f>
        <v>2026231152</v>
      </c>
      <c r="R23" s="524"/>
      <c r="S23" s="525">
        <f>264*20828</f>
        <v>5498592</v>
      </c>
    </row>
    <row r="24" spans="1:13" s="5" customFormat="1" ht="15" hidden="1">
      <c r="A24" s="516"/>
      <c r="B24" s="517"/>
      <c r="C24" s="517" t="s">
        <v>632</v>
      </c>
      <c r="D24" s="301"/>
      <c r="E24" s="321"/>
      <c r="F24" s="321"/>
      <c r="G24" s="321"/>
      <c r="H24" s="321"/>
      <c r="I24" s="321"/>
      <c r="J24" s="321"/>
      <c r="K24" s="321"/>
      <c r="L24" s="258"/>
      <c r="M24" s="323">
        <f t="shared" si="1"/>
        <v>0</v>
      </c>
    </row>
    <row r="25" spans="1:13" s="5" customFormat="1" ht="15" hidden="1">
      <c r="A25" s="516"/>
      <c r="B25" s="517"/>
      <c r="C25" s="517" t="s">
        <v>634</v>
      </c>
      <c r="D25" s="301"/>
      <c r="E25" s="321"/>
      <c r="F25" s="321"/>
      <c r="G25" s="321"/>
      <c r="H25" s="321"/>
      <c r="I25" s="321"/>
      <c r="J25" s="321"/>
      <c r="K25" s="321"/>
      <c r="L25" s="258"/>
      <c r="M25" s="323">
        <f t="shared" si="1"/>
        <v>0</v>
      </c>
    </row>
    <row r="26" spans="1:13" s="5" customFormat="1" ht="15" hidden="1">
      <c r="A26" s="516"/>
      <c r="B26" s="517"/>
      <c r="C26" s="517" t="s">
        <v>633</v>
      </c>
      <c r="D26" s="301"/>
      <c r="E26" s="321"/>
      <c r="F26" s="321"/>
      <c r="G26" s="321"/>
      <c r="H26" s="321"/>
      <c r="I26" s="321"/>
      <c r="J26" s="321"/>
      <c r="K26" s="321"/>
      <c r="L26" s="258"/>
      <c r="M26" s="323">
        <f t="shared" si="1"/>
        <v>0</v>
      </c>
    </row>
    <row r="27" spans="1:19" s="5" customFormat="1" ht="15" hidden="1">
      <c r="A27" s="516"/>
      <c r="B27" s="517"/>
      <c r="C27" s="517" t="s">
        <v>116</v>
      </c>
      <c r="D27" s="301"/>
      <c r="E27" s="321"/>
      <c r="F27" s="321"/>
      <c r="G27" s="321"/>
      <c r="H27" s="321"/>
      <c r="I27" s="321"/>
      <c r="J27" s="321"/>
      <c r="K27" s="321"/>
      <c r="L27" s="258"/>
      <c r="M27" s="323">
        <f t="shared" si="1"/>
        <v>0</v>
      </c>
      <c r="N27" s="526"/>
      <c r="O27" s="277"/>
      <c r="P27" s="277">
        <f>2100*20828</f>
        <v>43738800</v>
      </c>
      <c r="S27" s="525">
        <f>1284*20828</f>
        <v>26743152</v>
      </c>
    </row>
    <row r="28" spans="1:13" s="5" customFormat="1" ht="15" hidden="1">
      <c r="A28" s="516"/>
      <c r="B28" s="517"/>
      <c r="C28" s="518" t="s">
        <v>1013</v>
      </c>
      <c r="D28" s="301"/>
      <c r="E28" s="321"/>
      <c r="F28" s="321"/>
      <c r="G28" s="321"/>
      <c r="H28" s="321"/>
      <c r="I28" s="321"/>
      <c r="J28" s="321"/>
      <c r="K28" s="321"/>
      <c r="L28" s="258"/>
      <c r="M28" s="323">
        <f t="shared" si="1"/>
        <v>0</v>
      </c>
    </row>
    <row r="29" spans="1:17" s="5" customFormat="1" ht="15" hidden="1">
      <c r="A29" s="516"/>
      <c r="B29" s="517"/>
      <c r="C29" s="518" t="s">
        <v>632</v>
      </c>
      <c r="D29" s="301"/>
      <c r="E29" s="321"/>
      <c r="F29" s="321"/>
      <c r="G29" s="321"/>
      <c r="H29" s="321"/>
      <c r="I29" s="321"/>
      <c r="J29" s="321"/>
      <c r="K29" s="321"/>
      <c r="L29" s="258"/>
      <c r="M29" s="323">
        <f t="shared" si="1"/>
        <v>0</v>
      </c>
      <c r="N29" s="277"/>
      <c r="O29" s="277"/>
      <c r="Q29" s="57"/>
    </row>
    <row r="30" spans="1:15" s="8" customFormat="1" ht="14.25">
      <c r="A30" s="211"/>
      <c r="B30" s="512" t="s">
        <v>24</v>
      </c>
      <c r="C30" s="527"/>
      <c r="D30" s="260"/>
      <c r="E30" s="528">
        <f>E22+E23+E24-E26-E27+E28-E25+E29</f>
        <v>1621035692</v>
      </c>
      <c r="F30" s="263"/>
      <c r="G30" s="528">
        <f>G22+G23+G24-G26-G27+G28-G25+G29</f>
        <v>9744102577</v>
      </c>
      <c r="H30" s="263"/>
      <c r="I30" s="528">
        <f>I22+I23+I24-I26-I27+I28-I25+I29</f>
        <v>880861166</v>
      </c>
      <c r="J30" s="528"/>
      <c r="K30" s="528">
        <f>K22+K23+K24-K26-K27+K28-K25+K29</f>
        <v>167956219</v>
      </c>
      <c r="L30" s="263"/>
      <c r="M30" s="528">
        <f>M22+M23+M24-M26-M27+M28-M25+M29</f>
        <v>12413955654</v>
      </c>
      <c r="N30" s="515"/>
      <c r="O30" s="515"/>
    </row>
    <row r="31" spans="1:14" s="8" customFormat="1" ht="9" customHeight="1">
      <c r="A31" s="211"/>
      <c r="B31" s="521"/>
      <c r="C31" s="260"/>
      <c r="D31" s="260"/>
      <c r="E31" s="263"/>
      <c r="F31" s="263"/>
      <c r="G31" s="263"/>
      <c r="H31" s="263"/>
      <c r="I31" s="263"/>
      <c r="J31" s="263"/>
      <c r="K31" s="263"/>
      <c r="L31" s="263"/>
      <c r="M31" s="263"/>
      <c r="N31" s="515"/>
    </row>
    <row r="32" spans="1:15" s="5" customFormat="1" ht="15">
      <c r="A32" s="211"/>
      <c r="B32" s="213" t="s">
        <v>26</v>
      </c>
      <c r="C32" s="287"/>
      <c r="D32" s="287"/>
      <c r="E32" s="70"/>
      <c r="F32" s="184"/>
      <c r="G32" s="184"/>
      <c r="H32" s="70"/>
      <c r="I32" s="184"/>
      <c r="J32" s="327"/>
      <c r="K32" s="184"/>
      <c r="L32" s="184"/>
      <c r="M32" s="318"/>
      <c r="O32" s="681"/>
    </row>
    <row r="33" spans="1:14" s="8" customFormat="1" ht="14.25">
      <c r="A33" s="211"/>
      <c r="B33" s="521" t="s">
        <v>629</v>
      </c>
      <c r="C33" s="260"/>
      <c r="D33" s="260"/>
      <c r="E33" s="263">
        <f>E10-E22</f>
        <v>6763023445</v>
      </c>
      <c r="F33" s="263"/>
      <c r="G33" s="263">
        <f>G10-G22</f>
        <v>48037128101.92</v>
      </c>
      <c r="H33" s="263">
        <v>0</v>
      </c>
      <c r="I33" s="263">
        <f>I10-I22</f>
        <v>127962545.07999992</v>
      </c>
      <c r="J33" s="72">
        <v>0</v>
      </c>
      <c r="K33" s="263">
        <f>K10-K22</f>
        <v>228680304</v>
      </c>
      <c r="L33" s="263"/>
      <c r="M33" s="263">
        <f>SUM(E33:K33)</f>
        <v>55156794396</v>
      </c>
      <c r="N33" s="529">
        <f>M33-'[1]CDKT '!K51</f>
        <v>0</v>
      </c>
    </row>
    <row r="34" spans="1:14" s="8" customFormat="1" ht="15" thickBot="1">
      <c r="A34" s="211"/>
      <c r="B34" s="530" t="s">
        <v>24</v>
      </c>
      <c r="C34" s="531"/>
      <c r="D34" s="260"/>
      <c r="E34" s="532">
        <f>E19-E30</f>
        <v>10693608916</v>
      </c>
      <c r="F34" s="263"/>
      <c r="G34" s="532">
        <f>G19-G30</f>
        <v>48319336042.92</v>
      </c>
      <c r="H34" s="263">
        <v>0</v>
      </c>
      <c r="I34" s="532">
        <f>I19-I30</f>
        <v>59313727.07999992</v>
      </c>
      <c r="J34" s="72">
        <v>0</v>
      </c>
      <c r="K34" s="532">
        <f>K19-K30</f>
        <v>206295246</v>
      </c>
      <c r="L34" s="263"/>
      <c r="M34" s="532">
        <f>SUM(E34:K34)</f>
        <v>59278553932</v>
      </c>
      <c r="N34" s="529"/>
    </row>
    <row r="35" s="5" customFormat="1" ht="12.75" customHeight="1" thickTop="1"/>
    <row r="36" spans="3:12" s="5" customFormat="1" ht="14.25" customHeight="1">
      <c r="C36" s="219" t="s">
        <v>1015</v>
      </c>
      <c r="D36" s="219"/>
      <c r="E36" s="219"/>
      <c r="F36" s="219"/>
      <c r="G36" s="219"/>
      <c r="H36" s="219"/>
      <c r="I36" s="219"/>
      <c r="J36" s="219"/>
      <c r="K36" s="219"/>
      <c r="L36" s="219"/>
    </row>
    <row r="37" spans="3:12" s="5" customFormat="1" ht="14.25" customHeight="1">
      <c r="C37" s="533" t="s">
        <v>942</v>
      </c>
      <c r="D37" s="219"/>
      <c r="E37" s="326">
        <v>40504850099</v>
      </c>
      <c r="F37" s="219"/>
      <c r="G37" s="219" t="s">
        <v>1016</v>
      </c>
      <c r="H37" s="219"/>
      <c r="I37" s="219"/>
      <c r="J37" s="219"/>
      <c r="K37" s="219"/>
      <c r="L37" s="219"/>
    </row>
    <row r="38" spans="3:12" s="5" customFormat="1" ht="14.25" customHeight="1">
      <c r="C38" s="533" t="s">
        <v>1017</v>
      </c>
      <c r="D38" s="219"/>
      <c r="E38" s="534">
        <v>686000</v>
      </c>
      <c r="F38" s="219"/>
      <c r="G38" s="219" t="s">
        <v>1018</v>
      </c>
      <c r="H38" s="219"/>
      <c r="I38" s="219"/>
      <c r="J38" s="219"/>
      <c r="K38" s="219"/>
      <c r="L38" s="219"/>
    </row>
    <row r="39" spans="3:12" s="5" customFormat="1" ht="14.25" customHeight="1">
      <c r="C39" s="535" t="s">
        <v>1019</v>
      </c>
      <c r="D39" s="219"/>
      <c r="E39" s="219"/>
      <c r="F39" s="219"/>
      <c r="G39" s="219"/>
      <c r="H39" s="219"/>
      <c r="I39" s="219"/>
      <c r="J39" s="219"/>
      <c r="K39" s="219"/>
      <c r="L39" s="219"/>
    </row>
    <row r="40" spans="3:12" s="5" customFormat="1" ht="15" hidden="1">
      <c r="C40" s="511" t="s">
        <v>638</v>
      </c>
      <c r="D40" s="511"/>
      <c r="E40" s="511"/>
      <c r="F40" s="511"/>
      <c r="G40" s="511"/>
      <c r="H40" s="511"/>
      <c r="I40" s="511"/>
      <c r="J40" s="511"/>
      <c r="K40" s="511"/>
      <c r="L40" s="511"/>
    </row>
    <row r="41" spans="3:12" s="5" customFormat="1" ht="15" hidden="1">
      <c r="C41" s="511" t="s">
        <v>639</v>
      </c>
      <c r="D41" s="511"/>
      <c r="E41" s="511"/>
      <c r="F41" s="511"/>
      <c r="G41" s="511"/>
      <c r="H41" s="511"/>
      <c r="I41" s="511"/>
      <c r="J41" s="511"/>
      <c r="K41" s="511"/>
      <c r="L41" s="511"/>
    </row>
    <row r="42" spans="3:12" s="5" customFormat="1" ht="15" hidden="1">
      <c r="C42" s="511" t="s">
        <v>640</v>
      </c>
      <c r="D42" s="511"/>
      <c r="E42" s="511"/>
      <c r="F42" s="511"/>
      <c r="G42" s="511"/>
      <c r="H42" s="511"/>
      <c r="I42" s="511"/>
      <c r="J42" s="511"/>
      <c r="K42" s="511"/>
      <c r="L42" s="511"/>
    </row>
  </sheetData>
  <sheetProtection/>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0000"/>
  </sheetPr>
  <dimension ref="A1:IO53"/>
  <sheetViews>
    <sheetView tabSelected="1" zoomScalePageLayoutView="0" workbookViewId="0" topLeftCell="A7">
      <pane xSplit="3" ySplit="3" topLeftCell="D31" activePane="bottomRight" state="frozen"/>
      <selection pane="topLeft" activeCell="A7" sqref="A7"/>
      <selection pane="topRight" activeCell="D7" sqref="D7"/>
      <selection pane="bottomLeft" activeCell="A10" sqref="A10"/>
      <selection pane="bottomRight" activeCell="H56" sqref="H56"/>
    </sheetView>
  </sheetViews>
  <sheetFormatPr defaultColWidth="9.00390625" defaultRowHeight="12.75"/>
  <cols>
    <col min="1" max="1" width="3.875" style="500" customWidth="1"/>
    <col min="2" max="2" width="37.375" style="500" customWidth="1"/>
    <col min="3" max="4" width="14.375" style="500" customWidth="1"/>
    <col min="5" max="5" width="1.12109375" style="500" hidden="1" customWidth="1"/>
    <col min="6" max="6" width="12.375" style="500" hidden="1" customWidth="1"/>
    <col min="7" max="7" width="16.375" style="500" customWidth="1"/>
    <col min="8" max="9" width="15.25390625" style="500" customWidth="1"/>
    <col min="10" max="10" width="17.25390625" style="70" customWidth="1"/>
    <col min="11" max="11" width="18.25390625" style="500" customWidth="1"/>
    <col min="12" max="12" width="18.75390625" style="500" hidden="1" customWidth="1"/>
    <col min="13" max="13" width="15.875" style="500" hidden="1" customWidth="1"/>
    <col min="14" max="14" width="12.875" style="500" hidden="1" customWidth="1"/>
    <col min="15" max="18" width="0" style="500" hidden="1" customWidth="1"/>
    <col min="19" max="16384" width="9.125" style="500" customWidth="1"/>
  </cols>
  <sheetData>
    <row r="1" spans="1:249" s="74" customFormat="1" ht="19.5" customHeight="1">
      <c r="A1" s="65" t="str">
        <f>'[1]TTC'!D6</f>
        <v>CÔNG TY CỔ PHẦN CHẾ TẠO MÁY DZĨ AN</v>
      </c>
      <c r="B1" s="66"/>
      <c r="C1" s="67"/>
      <c r="D1" s="68"/>
      <c r="E1" s="67"/>
      <c r="F1" s="69"/>
      <c r="G1" s="67"/>
      <c r="H1" s="67"/>
      <c r="I1" s="67"/>
      <c r="J1" s="184"/>
      <c r="K1" s="72" t="s">
        <v>1007</v>
      </c>
      <c r="L1" s="500"/>
      <c r="M1" s="501"/>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c r="FP1" s="67"/>
      <c r="FQ1" s="67"/>
      <c r="FR1" s="67"/>
      <c r="FS1" s="67"/>
      <c r="FT1" s="67"/>
      <c r="FU1" s="67"/>
      <c r="FV1" s="67"/>
      <c r="FW1" s="67"/>
      <c r="FX1" s="67"/>
      <c r="FY1" s="67"/>
      <c r="FZ1" s="67"/>
      <c r="GA1" s="67"/>
      <c r="GB1" s="67"/>
      <c r="GC1" s="67"/>
      <c r="GD1" s="67"/>
      <c r="GE1" s="67"/>
      <c r="GF1" s="67"/>
      <c r="GG1" s="67"/>
      <c r="GH1" s="67"/>
      <c r="GI1" s="67"/>
      <c r="GJ1" s="67"/>
      <c r="GK1" s="67"/>
      <c r="GL1" s="67"/>
      <c r="GM1" s="67"/>
      <c r="GN1" s="67"/>
      <c r="GO1" s="67"/>
      <c r="GP1" s="67"/>
      <c r="GQ1" s="67"/>
      <c r="GR1" s="67"/>
      <c r="GS1" s="67"/>
      <c r="GT1" s="67"/>
      <c r="GU1" s="67"/>
      <c r="GV1" s="67"/>
      <c r="GW1" s="67"/>
      <c r="GX1" s="67"/>
      <c r="GY1" s="67"/>
      <c r="GZ1" s="67"/>
      <c r="HA1" s="67"/>
      <c r="HB1" s="67"/>
      <c r="HC1" s="67"/>
      <c r="HD1" s="67"/>
      <c r="HE1" s="67"/>
      <c r="HF1" s="67"/>
      <c r="HG1" s="67"/>
      <c r="HH1" s="67"/>
      <c r="HI1" s="67"/>
      <c r="HJ1" s="67"/>
      <c r="HK1" s="67"/>
      <c r="HL1" s="67"/>
      <c r="HM1" s="67"/>
      <c r="HN1" s="67"/>
      <c r="HO1" s="67"/>
      <c r="HP1" s="67"/>
      <c r="HQ1" s="67"/>
      <c r="HR1" s="67"/>
      <c r="HS1" s="67"/>
      <c r="HT1" s="67"/>
      <c r="HU1" s="67"/>
      <c r="HV1" s="67"/>
      <c r="HW1" s="67"/>
      <c r="HX1" s="67"/>
      <c r="HY1" s="67"/>
      <c r="HZ1" s="67"/>
      <c r="IA1" s="67"/>
      <c r="IB1" s="67"/>
      <c r="IC1" s="67"/>
      <c r="ID1" s="67"/>
      <c r="IE1" s="67"/>
      <c r="IF1" s="67"/>
      <c r="IG1" s="67"/>
      <c r="IH1" s="67"/>
      <c r="II1" s="67"/>
      <c r="IJ1" s="67"/>
      <c r="IK1" s="67"/>
      <c r="IL1" s="67"/>
      <c r="IM1" s="67"/>
      <c r="IN1" s="67"/>
      <c r="IO1" s="67"/>
    </row>
    <row r="2" spans="1:249" s="74" customFormat="1" ht="9.75" customHeight="1">
      <c r="A2" s="536"/>
      <c r="B2" s="66"/>
      <c r="C2" s="67"/>
      <c r="D2" s="68"/>
      <c r="E2" s="67"/>
      <c r="F2" s="69"/>
      <c r="G2" s="67"/>
      <c r="H2" s="67"/>
      <c r="I2" s="67"/>
      <c r="J2" s="184"/>
      <c r="K2" s="72"/>
      <c r="L2" s="500"/>
      <c r="M2" s="501"/>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row>
    <row r="3" spans="1:13" s="74" customFormat="1" ht="24.75" customHeight="1">
      <c r="A3" s="502" t="str">
        <f>'[1]TM'!A3</f>
        <v>THUYẾT MINH BÁO CÁO TÀI CHÍNH HỢP NHẤT</v>
      </c>
      <c r="B3" s="503"/>
      <c r="C3" s="503"/>
      <c r="D3" s="503"/>
      <c r="E3" s="503"/>
      <c r="F3" s="503"/>
      <c r="G3" s="503"/>
      <c r="H3" s="503"/>
      <c r="I3" s="503"/>
      <c r="J3" s="78"/>
      <c r="K3" s="504"/>
      <c r="L3" s="78"/>
      <c r="M3" s="501"/>
    </row>
    <row r="4" spans="1:13" s="74" customFormat="1" ht="18" customHeight="1">
      <c r="A4" s="505" t="s">
        <v>1053</v>
      </c>
      <c r="B4" s="506"/>
      <c r="C4" s="506"/>
      <c r="D4" s="506"/>
      <c r="E4" s="506"/>
      <c r="F4" s="506"/>
      <c r="G4" s="506"/>
      <c r="H4" s="506"/>
      <c r="I4" s="506"/>
      <c r="J4" s="180"/>
      <c r="K4" s="507" t="s">
        <v>1008</v>
      </c>
      <c r="L4" s="508"/>
      <c r="M4" s="501"/>
    </row>
    <row r="5" spans="1:10" s="188" customFormat="1" ht="30" customHeight="1">
      <c r="A5" s="509" t="s">
        <v>509</v>
      </c>
      <c r="B5" s="186" t="s">
        <v>83</v>
      </c>
      <c r="J5" s="288"/>
    </row>
    <row r="6" spans="1:10" s="188" customFormat="1" ht="19.5" customHeight="1">
      <c r="A6" s="211"/>
      <c r="B6" s="213" t="s">
        <v>819</v>
      </c>
      <c r="J6" s="288"/>
    </row>
    <row r="7" spans="1:10" s="188" customFormat="1" ht="3" customHeight="1">
      <c r="A7" s="211"/>
      <c r="B7" s="213"/>
      <c r="J7" s="288"/>
    </row>
    <row r="8" spans="1:11" s="188" customFormat="1" ht="45.75" customHeight="1">
      <c r="A8" s="791" t="s">
        <v>156</v>
      </c>
      <c r="B8" s="791"/>
      <c r="C8" s="537" t="s">
        <v>1020</v>
      </c>
      <c r="D8" s="537" t="s">
        <v>1021</v>
      </c>
      <c r="E8" s="537" t="s">
        <v>1022</v>
      </c>
      <c r="F8" s="537" t="s">
        <v>1023</v>
      </c>
      <c r="G8" s="537" t="s">
        <v>1024</v>
      </c>
      <c r="H8" s="537" t="s">
        <v>1025</v>
      </c>
      <c r="I8" s="537" t="s">
        <v>1026</v>
      </c>
      <c r="J8" s="538" t="s">
        <v>822</v>
      </c>
      <c r="K8" s="537" t="s">
        <v>823</v>
      </c>
    </row>
    <row r="9" spans="1:11" s="188" customFormat="1" ht="19.5" customHeight="1">
      <c r="A9" s="539" t="s">
        <v>828</v>
      </c>
      <c r="B9" s="540"/>
      <c r="C9" s="541">
        <v>31079800000</v>
      </c>
      <c r="D9" s="541">
        <v>16240748000</v>
      </c>
      <c r="E9" s="541">
        <v>0</v>
      </c>
      <c r="F9" s="542">
        <v>0</v>
      </c>
      <c r="G9" s="541">
        <v>1281885</v>
      </c>
      <c r="H9" s="541">
        <v>5122192591</v>
      </c>
      <c r="I9" s="541">
        <v>2832695773</v>
      </c>
      <c r="J9" s="542">
        <v>28369547508</v>
      </c>
      <c r="K9" s="541">
        <f>SUM(C9:J9)</f>
        <v>83646265757</v>
      </c>
    </row>
    <row r="10" spans="1:11" s="188" customFormat="1" ht="16.5" customHeight="1">
      <c r="A10" s="5" t="s">
        <v>180</v>
      </c>
      <c r="C10" s="543">
        <v>3418700000</v>
      </c>
      <c r="D10" s="543">
        <v>0</v>
      </c>
      <c r="E10" s="543">
        <v>0</v>
      </c>
      <c r="F10" s="543">
        <v>0</v>
      </c>
      <c r="G10" s="543">
        <v>0</v>
      </c>
      <c r="H10" s="543">
        <v>0</v>
      </c>
      <c r="I10" s="543">
        <v>0</v>
      </c>
      <c r="J10" s="543">
        <v>0</v>
      </c>
      <c r="K10" s="70">
        <f>SUM(C10:J10)</f>
        <v>3418700000</v>
      </c>
    </row>
    <row r="11" spans="1:11" s="188" customFormat="1" ht="16.5" customHeight="1">
      <c r="A11" s="5" t="s">
        <v>181</v>
      </c>
      <c r="C11" s="543">
        <v>0</v>
      </c>
      <c r="D11" s="543">
        <v>-70000000</v>
      </c>
      <c r="E11" s="543"/>
      <c r="F11" s="543">
        <v>0</v>
      </c>
      <c r="G11" s="543">
        <v>0</v>
      </c>
      <c r="H11" s="543">
        <v>0</v>
      </c>
      <c r="I11" s="543">
        <v>0</v>
      </c>
      <c r="J11" s="543">
        <v>0</v>
      </c>
      <c r="K11" s="70">
        <f aca="true" t="shared" si="0" ref="K11:K23">SUM(C11:J11)</f>
        <v>-70000000</v>
      </c>
    </row>
    <row r="12" spans="1:11" s="188" customFormat="1" ht="16.5" customHeight="1" hidden="1">
      <c r="A12" s="5" t="s">
        <v>182</v>
      </c>
      <c r="C12" s="543">
        <v>0</v>
      </c>
      <c r="D12" s="543">
        <v>0</v>
      </c>
      <c r="E12" s="543">
        <v>0</v>
      </c>
      <c r="F12" s="543">
        <v>0</v>
      </c>
      <c r="G12" s="543">
        <v>0</v>
      </c>
      <c r="H12" s="543">
        <v>0</v>
      </c>
      <c r="I12" s="543">
        <v>0</v>
      </c>
      <c r="J12" s="543">
        <v>0</v>
      </c>
      <c r="K12" s="70">
        <f t="shared" si="0"/>
        <v>0</v>
      </c>
    </row>
    <row r="13" spans="1:11" s="188" customFormat="1" ht="16.5" customHeight="1">
      <c r="A13" s="5" t="s">
        <v>1027</v>
      </c>
      <c r="C13" s="543">
        <v>0</v>
      </c>
      <c r="D13" s="543">
        <v>0</v>
      </c>
      <c r="E13" s="543">
        <v>0</v>
      </c>
      <c r="F13" s="543">
        <v>0</v>
      </c>
      <c r="G13" s="543">
        <v>0</v>
      </c>
      <c r="H13" s="543">
        <v>0</v>
      </c>
      <c r="I13" s="543">
        <v>0</v>
      </c>
      <c r="J13" s="70">
        <v>11260490636</v>
      </c>
      <c r="K13" s="70">
        <f t="shared" si="0"/>
        <v>11260490636</v>
      </c>
    </row>
    <row r="14" spans="1:11" s="188" customFormat="1" ht="16.5" customHeight="1">
      <c r="A14" s="5" t="s">
        <v>1028</v>
      </c>
      <c r="C14" s="543">
        <v>0</v>
      </c>
      <c r="D14" s="543">
        <v>0</v>
      </c>
      <c r="E14" s="543">
        <v>0</v>
      </c>
      <c r="F14" s="543">
        <v>0</v>
      </c>
      <c r="G14" s="543"/>
      <c r="H14" s="543"/>
      <c r="I14" s="543"/>
      <c r="J14" s="70">
        <v>-3418700000</v>
      </c>
      <c r="K14" s="70">
        <f t="shared" si="0"/>
        <v>-3418700000</v>
      </c>
    </row>
    <row r="15" spans="1:11" s="188" customFormat="1" ht="16.5" customHeight="1">
      <c r="A15" s="5" t="s">
        <v>1029</v>
      </c>
      <c r="C15" s="543">
        <v>0</v>
      </c>
      <c r="D15" s="543">
        <v>0</v>
      </c>
      <c r="E15" s="543">
        <v>0</v>
      </c>
      <c r="F15" s="543">
        <v>0</v>
      </c>
      <c r="G15" s="543"/>
      <c r="H15" s="543">
        <v>2313194424</v>
      </c>
      <c r="I15" s="543">
        <v>1156597212</v>
      </c>
      <c r="J15" s="70">
        <v>-3469791636</v>
      </c>
      <c r="K15" s="70">
        <f t="shared" si="0"/>
        <v>0</v>
      </c>
    </row>
    <row r="16" spans="1:11" s="188" customFormat="1" ht="16.5" customHeight="1" hidden="1">
      <c r="A16" s="5" t="s">
        <v>1030</v>
      </c>
      <c r="C16" s="543">
        <v>0</v>
      </c>
      <c r="D16" s="543">
        <v>0</v>
      </c>
      <c r="E16" s="543">
        <v>0</v>
      </c>
      <c r="F16" s="543">
        <v>0</v>
      </c>
      <c r="G16" s="543">
        <v>0</v>
      </c>
      <c r="H16" s="543">
        <v>0</v>
      </c>
      <c r="I16" s="543">
        <v>0</v>
      </c>
      <c r="J16" s="70"/>
      <c r="K16" s="70">
        <f t="shared" si="0"/>
        <v>0</v>
      </c>
    </row>
    <row r="17" spans="1:11" s="188" customFormat="1" ht="16.5" customHeight="1">
      <c r="A17" s="5" t="s">
        <v>1031</v>
      </c>
      <c r="C17" s="543">
        <v>0</v>
      </c>
      <c r="D17" s="543">
        <v>0</v>
      </c>
      <c r="E17" s="543">
        <v>0</v>
      </c>
      <c r="F17" s="543">
        <v>0</v>
      </c>
      <c r="G17" s="543">
        <v>0</v>
      </c>
      <c r="H17" s="543">
        <v>0</v>
      </c>
      <c r="I17" s="543">
        <v>0</v>
      </c>
      <c r="J17" s="70">
        <v>-1387916654</v>
      </c>
      <c r="K17" s="70">
        <f t="shared" si="0"/>
        <v>-1387916654</v>
      </c>
    </row>
    <row r="18" spans="1:12" s="188" customFormat="1" ht="16.5" customHeight="1" hidden="1">
      <c r="A18" s="5" t="s">
        <v>1032</v>
      </c>
      <c r="C18" s="543">
        <v>0</v>
      </c>
      <c r="D18" s="543">
        <v>0</v>
      </c>
      <c r="E18" s="543">
        <v>0</v>
      </c>
      <c r="F18" s="543">
        <v>0</v>
      </c>
      <c r="G18" s="543">
        <v>0</v>
      </c>
      <c r="H18" s="543">
        <v>0</v>
      </c>
      <c r="I18" s="543">
        <v>0</v>
      </c>
      <c r="J18" s="70"/>
      <c r="K18" s="70">
        <f t="shared" si="0"/>
        <v>0</v>
      </c>
      <c r="L18" s="257"/>
    </row>
    <row r="19" spans="1:12" s="188" customFormat="1" ht="16.5" customHeight="1">
      <c r="A19" s="5" t="s">
        <v>19</v>
      </c>
      <c r="C19" s="543">
        <v>0</v>
      </c>
      <c r="D19" s="543">
        <v>0</v>
      </c>
      <c r="E19" s="543">
        <v>0</v>
      </c>
      <c r="F19" s="543">
        <v>0</v>
      </c>
      <c r="G19" s="543">
        <v>-1281885</v>
      </c>
      <c r="H19" s="543">
        <v>0</v>
      </c>
      <c r="I19" s="543">
        <v>0</v>
      </c>
      <c r="J19" s="70">
        <v>-1599903824</v>
      </c>
      <c r="K19" s="70">
        <f t="shared" si="0"/>
        <v>-1601185709</v>
      </c>
      <c r="L19" s="257"/>
    </row>
    <row r="20" spans="1:11" s="188" customFormat="1" ht="16.5" customHeight="1">
      <c r="A20" s="5" t="s">
        <v>20</v>
      </c>
      <c r="B20" s="544"/>
      <c r="C20" s="543">
        <v>0</v>
      </c>
      <c r="D20" s="543">
        <v>0</v>
      </c>
      <c r="E20" s="543">
        <v>0</v>
      </c>
      <c r="F20" s="543">
        <v>0</v>
      </c>
      <c r="G20" s="543">
        <v>0</v>
      </c>
      <c r="H20" s="543">
        <v>0</v>
      </c>
      <c r="I20" s="543">
        <v>0</v>
      </c>
      <c r="J20" s="70">
        <v>83333334</v>
      </c>
      <c r="K20" s="70">
        <f t="shared" si="0"/>
        <v>83333334</v>
      </c>
    </row>
    <row r="21" spans="1:11" s="188" customFormat="1" ht="16.5" customHeight="1">
      <c r="A21" s="545" t="s">
        <v>1033</v>
      </c>
      <c r="B21" s="544"/>
      <c r="C21" s="543">
        <v>0</v>
      </c>
      <c r="D21" s="543">
        <v>0</v>
      </c>
      <c r="E21" s="543">
        <v>0</v>
      </c>
      <c r="F21" s="543">
        <v>0</v>
      </c>
      <c r="G21" s="543">
        <v>0</v>
      </c>
      <c r="H21" s="543">
        <v>0</v>
      </c>
      <c r="I21" s="543">
        <v>0</v>
      </c>
      <c r="J21" s="70">
        <v>-3948572</v>
      </c>
      <c r="K21" s="70">
        <f t="shared" si="0"/>
        <v>-3948572</v>
      </c>
    </row>
    <row r="22" spans="1:11" s="188" customFormat="1" ht="16.5" customHeight="1">
      <c r="A22" s="545" t="s">
        <v>1034</v>
      </c>
      <c r="B22" s="544"/>
      <c r="C22" s="543">
        <v>0</v>
      </c>
      <c r="D22" s="543">
        <v>0</v>
      </c>
      <c r="E22" s="543">
        <v>0</v>
      </c>
      <c r="F22" s="543">
        <v>0</v>
      </c>
      <c r="G22" s="543">
        <v>0</v>
      </c>
      <c r="H22" s="543">
        <v>0</v>
      </c>
      <c r="I22" s="543">
        <v>0</v>
      </c>
      <c r="J22" s="70">
        <v>79670058</v>
      </c>
      <c r="K22" s="70">
        <f t="shared" si="0"/>
        <v>79670058</v>
      </c>
    </row>
    <row r="23" spans="1:11" s="188" customFormat="1" ht="16.5" customHeight="1">
      <c r="A23" s="545" t="s">
        <v>18</v>
      </c>
      <c r="B23" s="544"/>
      <c r="C23" s="543">
        <v>0</v>
      </c>
      <c r="D23" s="543">
        <v>0</v>
      </c>
      <c r="E23" s="543">
        <v>0</v>
      </c>
      <c r="F23" s="543">
        <v>0</v>
      </c>
      <c r="G23" s="71">
        <v>1935480262</v>
      </c>
      <c r="H23" s="71">
        <v>6459899</v>
      </c>
      <c r="I23" s="71">
        <v>3230025</v>
      </c>
      <c r="J23" s="70">
        <v>32464999</v>
      </c>
      <c r="K23" s="70">
        <f t="shared" si="0"/>
        <v>1977635185</v>
      </c>
    </row>
    <row r="24" spans="1:12" s="238" customFormat="1" ht="19.5" customHeight="1" thickBot="1">
      <c r="A24" s="546" t="s">
        <v>827</v>
      </c>
      <c r="B24" s="547"/>
      <c r="C24" s="548">
        <f>SUM(C9:C23)</f>
        <v>34498500000</v>
      </c>
      <c r="D24" s="548">
        <f>SUM(D9:D23)</f>
        <v>16170748000</v>
      </c>
      <c r="E24" s="548">
        <f aca="true" t="shared" si="1" ref="E24:K24">SUM(E9:E23)</f>
        <v>0</v>
      </c>
      <c r="F24" s="548">
        <f t="shared" si="1"/>
        <v>0</v>
      </c>
      <c r="G24" s="679">
        <f t="shared" si="1"/>
        <v>1935480262</v>
      </c>
      <c r="H24" s="548">
        <f t="shared" si="1"/>
        <v>7441846914</v>
      </c>
      <c r="I24" s="548">
        <f t="shared" si="1"/>
        <v>3992523010</v>
      </c>
      <c r="J24" s="548">
        <f t="shared" si="1"/>
        <v>29945245849</v>
      </c>
      <c r="K24" s="548">
        <f t="shared" si="1"/>
        <v>93984344035</v>
      </c>
      <c r="L24" s="549">
        <f>K24-'[1]CDKT '!K113</f>
        <v>0</v>
      </c>
    </row>
    <row r="25" spans="1:11" s="551" customFormat="1" ht="15.75" customHeight="1" thickTop="1">
      <c r="A25" s="521"/>
      <c r="B25" s="240"/>
      <c r="C25" s="550"/>
      <c r="D25" s="550"/>
      <c r="E25" s="550"/>
      <c r="F25" s="550"/>
      <c r="G25" s="550"/>
      <c r="H25" s="550"/>
      <c r="I25" s="550"/>
      <c r="J25" s="550"/>
      <c r="K25" s="550"/>
    </row>
    <row r="26" spans="1:11" s="551" customFormat="1" ht="15.75" customHeight="1">
      <c r="A26" s="521"/>
      <c r="B26" s="240"/>
      <c r="C26" s="550"/>
      <c r="D26" s="550"/>
      <c r="E26" s="550"/>
      <c r="F26" s="550"/>
      <c r="G26" s="550"/>
      <c r="H26" s="550"/>
      <c r="I26" s="550"/>
      <c r="J26" s="550"/>
      <c r="K26" s="550"/>
    </row>
    <row r="27" spans="1:11" s="551" customFormat="1" ht="15.75" customHeight="1">
      <c r="A27" s="521"/>
      <c r="B27" s="240"/>
      <c r="C27" s="550"/>
      <c r="D27" s="550"/>
      <c r="E27" s="550"/>
      <c r="F27" s="550"/>
      <c r="G27" s="550"/>
      <c r="H27" s="550"/>
      <c r="I27" s="550"/>
      <c r="J27" s="550"/>
      <c r="K27" s="550"/>
    </row>
    <row r="28" spans="1:11" s="551" customFormat="1" ht="15.75" customHeight="1">
      <c r="A28" s="521"/>
      <c r="B28" s="240"/>
      <c r="C28" s="550"/>
      <c r="D28" s="550"/>
      <c r="E28" s="550"/>
      <c r="F28" s="550"/>
      <c r="G28" s="550"/>
      <c r="H28" s="550"/>
      <c r="I28" s="550"/>
      <c r="J28" s="550"/>
      <c r="K28" s="550"/>
    </row>
    <row r="29" spans="1:11" s="551" customFormat="1" ht="15.75" customHeight="1">
      <c r="A29" s="521"/>
      <c r="B29" s="240"/>
      <c r="C29" s="550"/>
      <c r="D29" s="550"/>
      <c r="E29" s="550"/>
      <c r="F29" s="550"/>
      <c r="G29" s="550"/>
      <c r="H29" s="550"/>
      <c r="I29" s="550"/>
      <c r="J29" s="550"/>
      <c r="K29" s="550"/>
    </row>
    <row r="30" spans="1:11" s="551" customFormat="1" ht="15.75" customHeight="1">
      <c r="A30" s="521"/>
      <c r="B30" s="240"/>
      <c r="C30" s="550"/>
      <c r="D30" s="550"/>
      <c r="E30" s="550"/>
      <c r="F30" s="550"/>
      <c r="G30" s="550"/>
      <c r="H30" s="550"/>
      <c r="I30" s="550"/>
      <c r="J30" s="550"/>
      <c r="K30" s="550"/>
    </row>
    <row r="31" spans="1:11" s="551" customFormat="1" ht="15.75" customHeight="1">
      <c r="A31" s="521"/>
      <c r="B31" s="240"/>
      <c r="C31" s="550"/>
      <c r="D31" s="550"/>
      <c r="E31" s="550"/>
      <c r="F31" s="550"/>
      <c r="G31" s="550"/>
      <c r="H31" s="550"/>
      <c r="I31" s="550"/>
      <c r="J31" s="550"/>
      <c r="K31" s="550"/>
    </row>
    <row r="32" spans="1:12" s="238" customFormat="1" ht="19.5" customHeight="1">
      <c r="A32" s="552" t="s">
        <v>828</v>
      </c>
      <c r="B32" s="328"/>
      <c r="C32" s="553">
        <f>C24</f>
        <v>34498500000</v>
      </c>
      <c r="D32" s="553">
        <f aca="true" t="shared" si="2" ref="D32:K32">D24</f>
        <v>16170748000</v>
      </c>
      <c r="E32" s="553">
        <f t="shared" si="2"/>
        <v>0</v>
      </c>
      <c r="F32" s="553">
        <f t="shared" si="2"/>
        <v>0</v>
      </c>
      <c r="G32" s="553">
        <f t="shared" si="2"/>
        <v>1935480262</v>
      </c>
      <c r="H32" s="553">
        <f t="shared" si="2"/>
        <v>7441846914</v>
      </c>
      <c r="I32" s="553">
        <f t="shared" si="2"/>
        <v>3992523010</v>
      </c>
      <c r="J32" s="553">
        <f t="shared" si="2"/>
        <v>29945245849</v>
      </c>
      <c r="K32" s="553">
        <f t="shared" si="2"/>
        <v>93984344035</v>
      </c>
      <c r="L32" s="256">
        <f>K32-'[1]CDKT '!K113</f>
        <v>0</v>
      </c>
    </row>
    <row r="33" spans="1:11" s="188" customFormat="1" ht="16.5" customHeight="1">
      <c r="A33" s="5" t="s">
        <v>180</v>
      </c>
      <c r="C33" s="543">
        <v>19461350000</v>
      </c>
      <c r="D33" s="543">
        <v>0</v>
      </c>
      <c r="E33" s="543">
        <v>0</v>
      </c>
      <c r="F33" s="543">
        <v>0</v>
      </c>
      <c r="G33" s="543">
        <v>0</v>
      </c>
      <c r="H33" s="543">
        <v>0</v>
      </c>
      <c r="I33" s="543">
        <v>0</v>
      </c>
      <c r="J33" s="543">
        <v>0</v>
      </c>
      <c r="K33" s="70">
        <f>SUM(C33:J33)</f>
        <v>19461350000</v>
      </c>
    </row>
    <row r="34" spans="1:11" s="188" customFormat="1" ht="16.5" customHeight="1">
      <c r="A34" s="5" t="s">
        <v>181</v>
      </c>
      <c r="C34" s="543">
        <v>0</v>
      </c>
      <c r="D34" s="543">
        <v>-80022000</v>
      </c>
      <c r="E34" s="543"/>
      <c r="F34" s="183"/>
      <c r="G34" s="543">
        <v>0</v>
      </c>
      <c r="H34" s="543">
        <v>0</v>
      </c>
      <c r="I34" s="543">
        <v>0</v>
      </c>
      <c r="J34" s="543">
        <v>0</v>
      </c>
      <c r="K34" s="70">
        <f aca="true" t="shared" si="3" ref="K34:K44">SUM(C34:J34)</f>
        <v>-80022000</v>
      </c>
    </row>
    <row r="35" spans="1:11" s="188" customFormat="1" ht="16.5" customHeight="1" hidden="1">
      <c r="A35" s="5" t="s">
        <v>182</v>
      </c>
      <c r="C35" s="543">
        <v>0</v>
      </c>
      <c r="D35" s="543"/>
      <c r="E35" s="543"/>
      <c r="F35" s="183"/>
      <c r="G35" s="543">
        <v>0</v>
      </c>
      <c r="H35" s="543">
        <v>0</v>
      </c>
      <c r="I35" s="543">
        <v>0</v>
      </c>
      <c r="J35" s="70"/>
      <c r="K35" s="70">
        <f t="shared" si="3"/>
        <v>0</v>
      </c>
    </row>
    <row r="36" spans="1:11" s="188" customFormat="1" ht="16.5" customHeight="1">
      <c r="A36" s="5" t="s">
        <v>1035</v>
      </c>
      <c r="C36" s="543">
        <v>0</v>
      </c>
      <c r="D36" s="543">
        <v>0</v>
      </c>
      <c r="E36" s="543">
        <v>0</v>
      </c>
      <c r="F36" s="543">
        <v>0</v>
      </c>
      <c r="G36" s="543">
        <v>0</v>
      </c>
      <c r="H36" s="543">
        <v>0</v>
      </c>
      <c r="I36" s="543">
        <v>0</v>
      </c>
      <c r="J36" s="70">
        <f>'[1]KQKD 1'!H29-1162392137</f>
        <v>-7834438576</v>
      </c>
      <c r="K36" s="70">
        <f t="shared" si="3"/>
        <v>-7834438576</v>
      </c>
    </row>
    <row r="37" spans="1:11" s="188" customFormat="1" ht="16.5" customHeight="1">
      <c r="A37" s="5" t="s">
        <v>1036</v>
      </c>
      <c r="C37" s="543">
        <v>0</v>
      </c>
      <c r="D37" s="543">
        <v>0</v>
      </c>
      <c r="E37" s="543">
        <v>0</v>
      </c>
      <c r="F37" s="543">
        <v>0</v>
      </c>
      <c r="G37" s="543">
        <v>0</v>
      </c>
      <c r="H37" s="543">
        <v>0</v>
      </c>
      <c r="I37" s="543">
        <v>0</v>
      </c>
      <c r="J37" s="70">
        <v>-13797650000</v>
      </c>
      <c r="K37" s="70">
        <f t="shared" si="3"/>
        <v>-13797650000</v>
      </c>
    </row>
    <row r="38" spans="1:11" s="188" customFormat="1" ht="16.5" customHeight="1">
      <c r="A38" s="5" t="s">
        <v>1037</v>
      </c>
      <c r="C38" s="543">
        <v>0</v>
      </c>
      <c r="D38" s="543">
        <v>0</v>
      </c>
      <c r="E38" s="543">
        <v>0</v>
      </c>
      <c r="F38" s="543">
        <v>0</v>
      </c>
      <c r="G38" s="543">
        <v>0</v>
      </c>
      <c r="H38" s="543">
        <f>34420072+128069423</f>
        <v>162489495</v>
      </c>
      <c r="I38" s="543">
        <f>17210035+64034711</f>
        <v>81244746</v>
      </c>
      <c r="J38" s="70">
        <f>-SUM(H38:I38)</f>
        <v>-243734241</v>
      </c>
      <c r="K38" s="70">
        <f>SUM(C38:J38)</f>
        <v>0</v>
      </c>
    </row>
    <row r="39" spans="1:11" s="188" customFormat="1" ht="16.5" customHeight="1" hidden="1">
      <c r="A39" s="5" t="s">
        <v>1030</v>
      </c>
      <c r="C39" s="543">
        <v>0</v>
      </c>
      <c r="D39" s="543">
        <v>0</v>
      </c>
      <c r="E39" s="543">
        <v>0</v>
      </c>
      <c r="F39" s="543">
        <v>0</v>
      </c>
      <c r="G39" s="543">
        <v>0</v>
      </c>
      <c r="H39" s="543"/>
      <c r="I39" s="543"/>
      <c r="J39" s="70"/>
      <c r="K39" s="70">
        <f t="shared" si="3"/>
        <v>0</v>
      </c>
    </row>
    <row r="40" spans="1:11" s="188" customFormat="1" ht="16.5" customHeight="1">
      <c r="A40" s="5" t="s">
        <v>1038</v>
      </c>
      <c r="C40" s="543">
        <v>0</v>
      </c>
      <c r="D40" s="543">
        <v>0</v>
      </c>
      <c r="E40" s="543">
        <v>0</v>
      </c>
      <c r="F40" s="543">
        <v>0</v>
      </c>
      <c r="G40" s="543">
        <v>0</v>
      </c>
      <c r="H40" s="543">
        <v>0</v>
      </c>
      <c r="I40" s="543">
        <v>0</v>
      </c>
      <c r="J40" s="70">
        <v>-23400501</v>
      </c>
      <c r="K40" s="70">
        <f t="shared" si="3"/>
        <v>-23400501</v>
      </c>
    </row>
    <row r="41" spans="1:11" s="188" customFormat="1" ht="16.5" customHeight="1">
      <c r="A41" s="5" t="s">
        <v>19</v>
      </c>
      <c r="C41" s="543">
        <v>0</v>
      </c>
      <c r="D41" s="543">
        <v>0</v>
      </c>
      <c r="E41" s="543">
        <v>0</v>
      </c>
      <c r="F41" s="543">
        <v>0</v>
      </c>
      <c r="G41" s="543">
        <v>0</v>
      </c>
      <c r="H41" s="543">
        <v>0</v>
      </c>
      <c r="I41" s="543">
        <v>0</v>
      </c>
      <c r="J41" s="70">
        <f>-130374834+3620499907</f>
        <v>3490125073</v>
      </c>
      <c r="K41" s="70">
        <f t="shared" si="3"/>
        <v>3490125073</v>
      </c>
    </row>
    <row r="42" spans="1:11" s="188" customFormat="1" ht="16.5" customHeight="1" hidden="1">
      <c r="A42" s="5" t="s">
        <v>20</v>
      </c>
      <c r="C42" s="543">
        <v>0</v>
      </c>
      <c r="D42" s="543">
        <v>0</v>
      </c>
      <c r="E42" s="543"/>
      <c r="F42" s="183"/>
      <c r="G42" s="543"/>
      <c r="H42" s="543">
        <v>0</v>
      </c>
      <c r="I42" s="543">
        <v>0</v>
      </c>
      <c r="J42" s="70"/>
      <c r="K42" s="70">
        <f t="shared" si="3"/>
        <v>0</v>
      </c>
    </row>
    <row r="43" spans="1:11" s="188" customFormat="1" ht="16.5" customHeight="1" hidden="1">
      <c r="A43" s="5" t="s">
        <v>1033</v>
      </c>
      <c r="C43" s="543">
        <v>0</v>
      </c>
      <c r="D43" s="543">
        <v>0</v>
      </c>
      <c r="E43" s="543"/>
      <c r="F43" s="183"/>
      <c r="G43" s="543"/>
      <c r="H43" s="543">
        <v>0</v>
      </c>
      <c r="I43" s="543">
        <v>0</v>
      </c>
      <c r="J43" s="70"/>
      <c r="K43" s="70">
        <f t="shared" si="3"/>
        <v>0</v>
      </c>
    </row>
    <row r="44" spans="1:12" s="188" customFormat="1" ht="16.5" customHeight="1">
      <c r="A44" s="5" t="s">
        <v>18</v>
      </c>
      <c r="C44" s="543">
        <v>0</v>
      </c>
      <c r="D44" s="543">
        <v>0</v>
      </c>
      <c r="E44" s="543"/>
      <c r="F44" s="183"/>
      <c r="G44" s="543">
        <f>-G32</f>
        <v>-1935480262</v>
      </c>
      <c r="H44" s="543">
        <v>0</v>
      </c>
      <c r="I44" s="543">
        <v>0</v>
      </c>
      <c r="J44" s="70"/>
      <c r="K44" s="70">
        <f t="shared" si="3"/>
        <v>-1935480262</v>
      </c>
      <c r="L44" s="190" t="s">
        <v>1039</v>
      </c>
    </row>
    <row r="45" spans="1:12" s="238" customFormat="1" ht="19.5" customHeight="1" thickBot="1">
      <c r="A45" s="554" t="s">
        <v>829</v>
      </c>
      <c r="B45" s="334"/>
      <c r="C45" s="555">
        <f aca="true" t="shared" si="4" ref="C45:K45">SUM(C32:C44)</f>
        <v>53959850000</v>
      </c>
      <c r="D45" s="555">
        <f t="shared" si="4"/>
        <v>16090726000</v>
      </c>
      <c r="E45" s="555">
        <f t="shared" si="4"/>
        <v>0</v>
      </c>
      <c r="F45" s="555">
        <f t="shared" si="4"/>
        <v>0</v>
      </c>
      <c r="G45" s="555">
        <f t="shared" si="4"/>
        <v>0</v>
      </c>
      <c r="H45" s="555">
        <f t="shared" si="4"/>
        <v>7604336409</v>
      </c>
      <c r="I45" s="555">
        <f t="shared" si="4"/>
        <v>4073767756</v>
      </c>
      <c r="J45" s="555">
        <f t="shared" si="4"/>
        <v>11536147604</v>
      </c>
      <c r="K45" s="555">
        <f t="shared" si="4"/>
        <v>93264827769</v>
      </c>
      <c r="L45" s="256">
        <f>K45-'[1]CDKT '!I113</f>
        <v>2737109645</v>
      </c>
    </row>
    <row r="46" spans="3:13" s="556" customFormat="1" ht="15" customHeight="1" thickTop="1">
      <c r="C46" s="557">
        <f>C45-'[1]CDKT '!I114</f>
        <v>0</v>
      </c>
      <c r="D46" s="557">
        <f>D45-'[1]CDKT '!I115</f>
        <v>0</v>
      </c>
      <c r="E46" s="557">
        <v>0</v>
      </c>
      <c r="F46" s="557">
        <f>F45-'[1]CDKT '!I117</f>
        <v>0</v>
      </c>
      <c r="G46" s="557">
        <f>G45-'[1]CDKT '!I119</f>
        <v>279001872</v>
      </c>
      <c r="H46" s="557">
        <f>7604336409-H45</f>
        <v>0</v>
      </c>
      <c r="I46" s="557">
        <f>4073767756-I45</f>
        <v>0</v>
      </c>
      <c r="J46" s="558">
        <v>11536147604</v>
      </c>
      <c r="K46" s="558">
        <f>K45-'[1]CDKT '!I113</f>
        <v>2737109645</v>
      </c>
      <c r="L46" s="559"/>
      <c r="M46" s="558"/>
    </row>
    <row r="47" spans="1:11" s="565" customFormat="1" ht="15.75" customHeight="1">
      <c r="A47" s="560"/>
      <c r="B47" s="561"/>
      <c r="C47" s="561"/>
      <c r="D47" s="561"/>
      <c r="E47" s="561"/>
      <c r="F47" s="561"/>
      <c r="G47" s="561"/>
      <c r="H47" s="556"/>
      <c r="I47" s="562"/>
      <c r="J47" s="563">
        <f>J46-J45</f>
        <v>0</v>
      </c>
      <c r="K47" s="564"/>
    </row>
    <row r="48" spans="1:11" s="565" customFormat="1" ht="15.75" customHeight="1">
      <c r="A48" s="566"/>
      <c r="B48" s="567"/>
      <c r="C48" s="568"/>
      <c r="D48" s="556"/>
      <c r="E48" s="567"/>
      <c r="F48" s="567"/>
      <c r="G48" s="556"/>
      <c r="H48" s="569">
        <f>3407.12*(20828-18932)</f>
        <v>6459899.52</v>
      </c>
      <c r="I48" s="569">
        <f>1703.55*(20828-18932)</f>
        <v>3229930.8</v>
      </c>
      <c r="J48" s="558">
        <f>17122.89*(20828-18932)</f>
        <v>32464999.439999998</v>
      </c>
      <c r="K48" s="564"/>
    </row>
    <row r="49" spans="1:11" s="565" customFormat="1" ht="15.75" customHeight="1">
      <c r="A49" s="566"/>
      <c r="B49" s="570"/>
      <c r="C49" s="571"/>
      <c r="D49" s="572"/>
      <c r="E49" s="573"/>
      <c r="F49" s="566"/>
      <c r="G49" s="574"/>
      <c r="H49" s="575"/>
      <c r="I49" s="575"/>
      <c r="J49" s="576"/>
      <c r="K49" s="564"/>
    </row>
    <row r="50" spans="1:11" s="74" customFormat="1" ht="15.75" customHeight="1">
      <c r="A50" s="67"/>
      <c r="B50" s="577"/>
      <c r="C50" s="578"/>
      <c r="D50" s="579"/>
      <c r="E50" s="69"/>
      <c r="F50" s="67"/>
      <c r="G50" s="71"/>
      <c r="H50" s="184"/>
      <c r="I50" s="184"/>
      <c r="J50" s="184"/>
      <c r="K50" s="501"/>
    </row>
    <row r="51" spans="1:11" s="74" customFormat="1" ht="15.75" customHeight="1">
      <c r="A51" s="67"/>
      <c r="B51" s="577"/>
      <c r="C51" s="578"/>
      <c r="D51" s="579"/>
      <c r="E51" s="69"/>
      <c r="F51" s="67"/>
      <c r="G51" s="71"/>
      <c r="H51" s="184"/>
      <c r="I51" s="184"/>
      <c r="J51" s="184"/>
      <c r="K51" s="501"/>
    </row>
    <row r="52" spans="1:11" s="74" customFormat="1" ht="15.75" customHeight="1">
      <c r="A52" s="67"/>
      <c r="B52" s="577"/>
      <c r="C52" s="578"/>
      <c r="D52" s="579"/>
      <c r="E52" s="69"/>
      <c r="F52" s="67"/>
      <c r="G52" s="71"/>
      <c r="H52" s="184"/>
      <c r="I52" s="184"/>
      <c r="J52" s="184"/>
      <c r="K52" s="501"/>
    </row>
    <row r="53" spans="1:11" s="587" customFormat="1" ht="15.75" customHeight="1">
      <c r="A53" s="580"/>
      <c r="B53" s="581"/>
      <c r="C53" s="582"/>
      <c r="D53" s="583"/>
      <c r="E53" s="584"/>
      <c r="F53" s="580"/>
      <c r="G53" s="585"/>
      <c r="H53" s="72"/>
      <c r="I53" s="72"/>
      <c r="J53" s="72"/>
      <c r="K53" s="586"/>
    </row>
  </sheetData>
  <sheetProtection/>
  <mergeCells count="1">
    <mergeCell ref="A8:B8"/>
  </mergeCells>
  <printOptions/>
  <pageMargins left="0.31" right="0.2" top="0.39" bottom="0.35" header="0.26" footer="0.18"/>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kienpt</cp:lastModifiedBy>
  <cp:lastPrinted>2012-11-22T08:07:08Z</cp:lastPrinted>
  <dcterms:created xsi:type="dcterms:W3CDTF">2009-04-16T05:27:02Z</dcterms:created>
  <dcterms:modified xsi:type="dcterms:W3CDTF">2012-11-26T07:43:15Z</dcterms:modified>
  <cp:category/>
  <cp:version/>
  <cp:contentType/>
  <cp:contentStatus/>
</cp:coreProperties>
</file>